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Guided Pledge\2026\"/>
    </mc:Choice>
  </mc:AlternateContent>
  <xr:revisionPtr revIDLastSave="0" documentId="13_ncr:1_{CDDE5D76-83FE-43DA-874F-25E8FDAD1D5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Factors &amp; Percentages" sheetId="4" r:id="rId1"/>
    <sheet name="Diocese Sheet" sheetId="5" r:id="rId2"/>
  </sheets>
  <definedNames>
    <definedName name="_xlnm._FilterDatabase" localSheetId="1" hidden="1">'Diocese Sheet'!$A$2:$BM$209</definedName>
    <definedName name="_xlnm.Print_Area" localSheetId="1">'Diocese Sheet'!$A$2:$BM$211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5" l="1"/>
  <c r="AD3" i="5"/>
  <c r="AR3" i="5"/>
  <c r="AC4" i="5"/>
  <c r="AD4" i="5"/>
  <c r="AR4" i="5"/>
  <c r="AC5" i="5"/>
  <c r="AD5" i="5"/>
  <c r="AR5" i="5"/>
  <c r="AC6" i="5"/>
  <c r="AD6" i="5"/>
  <c r="AR6" i="5"/>
  <c r="AC7" i="5"/>
  <c r="AD7" i="5"/>
  <c r="AR7" i="5"/>
  <c r="AC8" i="5"/>
  <c r="AD8" i="5"/>
  <c r="AR8" i="5"/>
  <c r="AC9" i="5"/>
  <c r="AD9" i="5"/>
  <c r="AR9" i="5"/>
  <c r="AC10" i="5"/>
  <c r="AD10" i="5"/>
  <c r="AR10" i="5"/>
  <c r="AC11" i="5"/>
  <c r="AD11" i="5"/>
  <c r="AR11" i="5"/>
  <c r="AC12" i="5"/>
  <c r="AD12" i="5"/>
  <c r="AR12" i="5"/>
  <c r="AC13" i="5"/>
  <c r="AD13" i="5"/>
  <c r="AR13" i="5"/>
  <c r="AC14" i="5"/>
  <c r="AD14" i="5"/>
  <c r="AR14" i="5"/>
  <c r="AC15" i="5"/>
  <c r="AD15" i="5"/>
  <c r="AR15" i="5"/>
  <c r="AC16" i="5"/>
  <c r="AD16" i="5"/>
  <c r="AR16" i="5"/>
  <c r="AC17" i="5"/>
  <c r="AD17" i="5"/>
  <c r="AR17" i="5"/>
  <c r="AC18" i="5"/>
  <c r="AD18" i="5"/>
  <c r="AR18" i="5"/>
  <c r="AC19" i="5"/>
  <c r="AD19" i="5"/>
  <c r="AR19" i="5"/>
  <c r="AC20" i="5"/>
  <c r="AD20" i="5"/>
  <c r="AR20" i="5"/>
  <c r="AC21" i="5"/>
  <c r="AD21" i="5"/>
  <c r="AR21" i="5"/>
  <c r="AC22" i="5"/>
  <c r="AD22" i="5"/>
  <c r="AR22" i="5"/>
  <c r="AC23" i="5"/>
  <c r="AD23" i="5"/>
  <c r="AR23" i="5"/>
  <c r="AC24" i="5"/>
  <c r="AD24" i="5"/>
  <c r="AR24" i="5"/>
  <c r="AC25" i="5"/>
  <c r="AD25" i="5"/>
  <c r="AR25" i="5"/>
  <c r="AC26" i="5"/>
  <c r="AD26" i="5"/>
  <c r="AR26" i="5"/>
  <c r="AC27" i="5"/>
  <c r="AD27" i="5"/>
  <c r="AR27" i="5"/>
  <c r="AC28" i="5"/>
  <c r="AD28" i="5"/>
  <c r="AR28" i="5"/>
  <c r="AC29" i="5"/>
  <c r="AD29" i="5"/>
  <c r="AR29" i="5"/>
  <c r="AC30" i="5"/>
  <c r="AD30" i="5"/>
  <c r="AR30" i="5"/>
  <c r="AC31" i="5"/>
  <c r="AD31" i="5"/>
  <c r="AR31" i="5"/>
  <c r="AC32" i="5"/>
  <c r="AD32" i="5"/>
  <c r="AR32" i="5"/>
  <c r="AC33" i="5"/>
  <c r="AD33" i="5"/>
  <c r="AR33" i="5"/>
  <c r="AC34" i="5"/>
  <c r="AD34" i="5"/>
  <c r="AR34" i="5"/>
  <c r="AC35" i="5"/>
  <c r="AD35" i="5"/>
  <c r="AR35" i="5"/>
  <c r="AC36" i="5"/>
  <c r="AD36" i="5"/>
  <c r="AR36" i="5"/>
  <c r="AC37" i="5"/>
  <c r="AD37" i="5"/>
  <c r="AR37" i="5"/>
  <c r="AC38" i="5"/>
  <c r="AD38" i="5"/>
  <c r="AR38" i="5"/>
  <c r="AC39" i="5"/>
  <c r="AD39" i="5"/>
  <c r="AR39" i="5"/>
  <c r="AC40" i="5"/>
  <c r="AD40" i="5"/>
  <c r="AR40" i="5"/>
  <c r="AC41" i="5"/>
  <c r="AD41" i="5"/>
  <c r="AR41" i="5"/>
  <c r="AC42" i="5"/>
  <c r="AD42" i="5"/>
  <c r="AR42" i="5"/>
  <c r="AC43" i="5"/>
  <c r="AD43" i="5"/>
  <c r="AR43" i="5"/>
  <c r="AC44" i="5"/>
  <c r="AD44" i="5"/>
  <c r="AR44" i="5"/>
  <c r="AC45" i="5"/>
  <c r="AD45" i="5"/>
  <c r="AR45" i="5"/>
  <c r="AC46" i="5"/>
  <c r="AD46" i="5"/>
  <c r="AR46" i="5"/>
  <c r="AC47" i="5"/>
  <c r="AD47" i="5"/>
  <c r="AR47" i="5"/>
  <c r="AC48" i="5"/>
  <c r="AD48" i="5"/>
  <c r="AR48" i="5"/>
  <c r="AC49" i="5"/>
  <c r="AD49" i="5"/>
  <c r="AR49" i="5"/>
  <c r="AC50" i="5"/>
  <c r="AD50" i="5"/>
  <c r="AR50" i="5"/>
  <c r="AV50" i="5"/>
  <c r="AC51" i="5"/>
  <c r="AD51" i="5"/>
  <c r="AR51" i="5"/>
  <c r="AC52" i="5"/>
  <c r="AD52" i="5"/>
  <c r="AR52" i="5"/>
  <c r="AC53" i="5"/>
  <c r="AD53" i="5"/>
  <c r="AR53" i="5"/>
  <c r="AC54" i="5"/>
  <c r="AD54" i="5"/>
  <c r="AR54" i="5"/>
  <c r="AC55" i="5"/>
  <c r="AD55" i="5"/>
  <c r="AR55" i="5"/>
  <c r="AC56" i="5"/>
  <c r="AD56" i="5"/>
  <c r="AR56" i="5"/>
  <c r="AC57" i="5"/>
  <c r="AD57" i="5"/>
  <c r="AR57" i="5"/>
  <c r="AC58" i="5"/>
  <c r="AD58" i="5"/>
  <c r="AR58" i="5"/>
  <c r="AC59" i="5"/>
  <c r="AD59" i="5"/>
  <c r="AR59" i="5"/>
  <c r="AC60" i="5"/>
  <c r="AD60" i="5"/>
  <c r="AR60" i="5"/>
  <c r="AC61" i="5"/>
  <c r="AD61" i="5"/>
  <c r="AR61" i="5"/>
  <c r="G61" i="5"/>
  <c r="AC62" i="5"/>
  <c r="AD62" i="5"/>
  <c r="AR62" i="5"/>
  <c r="AC63" i="5"/>
  <c r="AD63" i="5"/>
  <c r="AR63" i="5"/>
  <c r="AC64" i="5"/>
  <c r="AD64" i="5"/>
  <c r="AR64" i="5"/>
  <c r="AC65" i="5"/>
  <c r="AD65" i="5"/>
  <c r="AR65" i="5"/>
  <c r="AC66" i="5"/>
  <c r="AD66" i="5"/>
  <c r="AR66" i="5"/>
  <c r="AC67" i="5"/>
  <c r="AD67" i="5"/>
  <c r="AR67" i="5"/>
  <c r="AC68" i="5"/>
  <c r="AD68" i="5"/>
  <c r="AR68" i="5"/>
  <c r="AC69" i="5"/>
  <c r="AD69" i="5"/>
  <c r="AR69" i="5"/>
  <c r="BE69" i="5"/>
  <c r="AC70" i="5"/>
  <c r="AD70" i="5"/>
  <c r="AR70" i="5"/>
  <c r="AX70" i="5"/>
  <c r="G70" i="5" s="1"/>
  <c r="AC71" i="5"/>
  <c r="AD71" i="5"/>
  <c r="AR71" i="5"/>
  <c r="AC72" i="5"/>
  <c r="AD72" i="5"/>
  <c r="AR72" i="5"/>
  <c r="AC73" i="5"/>
  <c r="AD73" i="5"/>
  <c r="AR73" i="5"/>
  <c r="AC74" i="5"/>
  <c r="AD74" i="5"/>
  <c r="AR74" i="5"/>
  <c r="AC75" i="5"/>
  <c r="AD75" i="5"/>
  <c r="AR75" i="5"/>
  <c r="AC76" i="5"/>
  <c r="AD76" i="5"/>
  <c r="AR76" i="5"/>
  <c r="AC77" i="5"/>
  <c r="AD77" i="5"/>
  <c r="AR77" i="5"/>
  <c r="AC78" i="5"/>
  <c r="AD78" i="5"/>
  <c r="AR78" i="5"/>
  <c r="AC79" i="5"/>
  <c r="AD79" i="5"/>
  <c r="AR79" i="5"/>
  <c r="AC80" i="5"/>
  <c r="AD80" i="5"/>
  <c r="AR80" i="5"/>
  <c r="AC81" i="5"/>
  <c r="AD81" i="5"/>
  <c r="AR81" i="5"/>
  <c r="AC82" i="5"/>
  <c r="AD82" i="5"/>
  <c r="AR82" i="5"/>
  <c r="AC83" i="5"/>
  <c r="AD83" i="5"/>
  <c r="AR83" i="5"/>
  <c r="AC84" i="5"/>
  <c r="AD84" i="5"/>
  <c r="AR84" i="5"/>
  <c r="AC85" i="5"/>
  <c r="AD85" i="5"/>
  <c r="AR85" i="5"/>
  <c r="AC86" i="5"/>
  <c r="AD86" i="5"/>
  <c r="AR86" i="5"/>
  <c r="AC87" i="5"/>
  <c r="AD87" i="5"/>
  <c r="AR87" i="5"/>
  <c r="AC88" i="5"/>
  <c r="AD88" i="5"/>
  <c r="AR88" i="5"/>
  <c r="AC89" i="5"/>
  <c r="AD89" i="5"/>
  <c r="AR89" i="5"/>
  <c r="AC90" i="5"/>
  <c r="AD90" i="5"/>
  <c r="AR90" i="5"/>
  <c r="AC91" i="5"/>
  <c r="AD91" i="5"/>
  <c r="AR91" i="5"/>
  <c r="AC92" i="5"/>
  <c r="AD92" i="5"/>
  <c r="AR92" i="5"/>
  <c r="AC93" i="5"/>
  <c r="AD93" i="5"/>
  <c r="AR93" i="5"/>
  <c r="AC94" i="5"/>
  <c r="AD94" i="5"/>
  <c r="AR94" i="5"/>
  <c r="AC95" i="5"/>
  <c r="AD95" i="5"/>
  <c r="AR95" i="5"/>
  <c r="AC96" i="5"/>
  <c r="AD96" i="5"/>
  <c r="AR96" i="5"/>
  <c r="AC97" i="5"/>
  <c r="AD97" i="5"/>
  <c r="AR97" i="5"/>
  <c r="AC98" i="5"/>
  <c r="AD98" i="5"/>
  <c r="AR98" i="5"/>
  <c r="AC99" i="5"/>
  <c r="AD99" i="5"/>
  <c r="AR99" i="5"/>
  <c r="AC100" i="5"/>
  <c r="AD100" i="5"/>
  <c r="AR100" i="5"/>
  <c r="AC101" i="5"/>
  <c r="AD101" i="5"/>
  <c r="AR101" i="5"/>
  <c r="AC102" i="5"/>
  <c r="AD102" i="5"/>
  <c r="AR102" i="5"/>
  <c r="AC103" i="5"/>
  <c r="AD103" i="5"/>
  <c r="AR103" i="5"/>
  <c r="AC104" i="5"/>
  <c r="AD104" i="5"/>
  <c r="AR104" i="5"/>
  <c r="AC105" i="5"/>
  <c r="AD105" i="5"/>
  <c r="AR105" i="5"/>
  <c r="AC106" i="5"/>
  <c r="AD106" i="5"/>
  <c r="AR106" i="5"/>
  <c r="AC107" i="5"/>
  <c r="AD107" i="5"/>
  <c r="AR107" i="5"/>
  <c r="AC108" i="5"/>
  <c r="AD108" i="5"/>
  <c r="AR108" i="5"/>
  <c r="AC109" i="5"/>
  <c r="AD109" i="5"/>
  <c r="AR109" i="5"/>
  <c r="AC110" i="5"/>
  <c r="AD110" i="5"/>
  <c r="AR110" i="5"/>
  <c r="AC111" i="5"/>
  <c r="AD111" i="5"/>
  <c r="AR111" i="5"/>
  <c r="AC112" i="5"/>
  <c r="AD112" i="5"/>
  <c r="AR112" i="5"/>
  <c r="AC113" i="5"/>
  <c r="AD113" i="5"/>
  <c r="AR113" i="5"/>
  <c r="AC114" i="5"/>
  <c r="AD114" i="5"/>
  <c r="AR114" i="5"/>
  <c r="AC115" i="5"/>
  <c r="AD115" i="5"/>
  <c r="AR115" i="5"/>
  <c r="AC116" i="5"/>
  <c r="AD116" i="5"/>
  <c r="AR116" i="5"/>
  <c r="AC117" i="5"/>
  <c r="AD117" i="5"/>
  <c r="AR117" i="5"/>
  <c r="AC118" i="5"/>
  <c r="AD118" i="5"/>
  <c r="AR118" i="5"/>
  <c r="AC119" i="5"/>
  <c r="AD119" i="5"/>
  <c r="AR119" i="5"/>
  <c r="AC120" i="5"/>
  <c r="AD120" i="5"/>
  <c r="AR120" i="5"/>
  <c r="AC121" i="5"/>
  <c r="AD121" i="5"/>
  <c r="AR121" i="5"/>
  <c r="AC122" i="5"/>
  <c r="AD122" i="5"/>
  <c r="AR122" i="5"/>
  <c r="AC123" i="5"/>
  <c r="AD123" i="5"/>
  <c r="AR123" i="5"/>
  <c r="AC124" i="5"/>
  <c r="AD124" i="5"/>
  <c r="AR124" i="5"/>
  <c r="AC125" i="5"/>
  <c r="AD125" i="5"/>
  <c r="AR125" i="5"/>
  <c r="AC126" i="5"/>
  <c r="AD126" i="5"/>
  <c r="AR126" i="5"/>
  <c r="AC127" i="5"/>
  <c r="AD127" i="5"/>
  <c r="AR127" i="5"/>
  <c r="AC128" i="5"/>
  <c r="AD128" i="5"/>
  <c r="AR128" i="5"/>
  <c r="AC129" i="5"/>
  <c r="AD129" i="5"/>
  <c r="AR129" i="5"/>
  <c r="AC130" i="5"/>
  <c r="AD130" i="5"/>
  <c r="AR130" i="5"/>
  <c r="AC131" i="5"/>
  <c r="AD131" i="5"/>
  <c r="AR131" i="5"/>
  <c r="AC132" i="5"/>
  <c r="AD132" i="5"/>
  <c r="AR132" i="5"/>
  <c r="AC133" i="5"/>
  <c r="AD133" i="5"/>
  <c r="AR133" i="5"/>
  <c r="AC134" i="5"/>
  <c r="AD134" i="5"/>
  <c r="AR134" i="5"/>
  <c r="AC135" i="5"/>
  <c r="AD135" i="5"/>
  <c r="AR135" i="5"/>
  <c r="AC136" i="5"/>
  <c r="AD136" i="5"/>
  <c r="AR136" i="5"/>
  <c r="AC137" i="5"/>
  <c r="AD137" i="5"/>
  <c r="AR137" i="5"/>
  <c r="AC138" i="5"/>
  <c r="AD138" i="5"/>
  <c r="AR138" i="5"/>
  <c r="AC139" i="5"/>
  <c r="AD139" i="5"/>
  <c r="AR139" i="5"/>
  <c r="AC140" i="5"/>
  <c r="AD140" i="5"/>
  <c r="AR140" i="5"/>
  <c r="AC141" i="5"/>
  <c r="AD141" i="5"/>
  <c r="AR141" i="5"/>
  <c r="AC142" i="5"/>
  <c r="AD142" i="5"/>
  <c r="AR142" i="5"/>
  <c r="AC143" i="5"/>
  <c r="AD143" i="5"/>
  <c r="AR143" i="5"/>
  <c r="AC144" i="5"/>
  <c r="AD144" i="5"/>
  <c r="AR144" i="5"/>
  <c r="AC145" i="5"/>
  <c r="AD145" i="5"/>
  <c r="AR145" i="5"/>
  <c r="AC146" i="5"/>
  <c r="AD146" i="5"/>
  <c r="AR146" i="5"/>
  <c r="AC147" i="5"/>
  <c r="AD147" i="5"/>
  <c r="AR147" i="5"/>
  <c r="AC148" i="5"/>
  <c r="AD148" i="5"/>
  <c r="AR148" i="5"/>
  <c r="AC149" i="5"/>
  <c r="AD149" i="5"/>
  <c r="AR149" i="5"/>
  <c r="BB149" i="5"/>
  <c r="AC150" i="5"/>
  <c r="AD150" i="5"/>
  <c r="AR150" i="5"/>
  <c r="AC151" i="5"/>
  <c r="AD151" i="5"/>
  <c r="AR151" i="5"/>
  <c r="AC152" i="5"/>
  <c r="AD152" i="5"/>
  <c r="AR152" i="5"/>
  <c r="AC153" i="5"/>
  <c r="AD153" i="5"/>
  <c r="AR153" i="5"/>
  <c r="AX153" i="5"/>
  <c r="G153" i="5" s="1"/>
  <c r="AC154" i="5"/>
  <c r="AD154" i="5"/>
  <c r="AR154" i="5"/>
  <c r="AC155" i="5"/>
  <c r="AD155" i="5"/>
  <c r="AJ155" i="5"/>
  <c r="AR155" i="5"/>
  <c r="AC156" i="5"/>
  <c r="AD156" i="5"/>
  <c r="AR156" i="5"/>
  <c r="AC157" i="5"/>
  <c r="AD157" i="5"/>
  <c r="AR157" i="5"/>
  <c r="AC158" i="5"/>
  <c r="AD158" i="5"/>
  <c r="AR158" i="5"/>
  <c r="AC159" i="5"/>
  <c r="AD159" i="5"/>
  <c r="AR159" i="5"/>
  <c r="AC160" i="5"/>
  <c r="AD160" i="5"/>
  <c r="AR160" i="5"/>
  <c r="AC161" i="5"/>
  <c r="AD161" i="5"/>
  <c r="AR161" i="5"/>
  <c r="AC162" i="5"/>
  <c r="AD162" i="5"/>
  <c r="AR162" i="5"/>
  <c r="AC163" i="5"/>
  <c r="AD163" i="5"/>
  <c r="AR163" i="5"/>
  <c r="AC164" i="5"/>
  <c r="AD164" i="5"/>
  <c r="AR164" i="5"/>
  <c r="AC165" i="5"/>
  <c r="AD165" i="5"/>
  <c r="AR165" i="5"/>
  <c r="AC166" i="5"/>
  <c r="AD166" i="5"/>
  <c r="AR166" i="5"/>
  <c r="AC167" i="5"/>
  <c r="AD167" i="5"/>
  <c r="AR167" i="5"/>
  <c r="AC168" i="5"/>
  <c r="AD168" i="5"/>
  <c r="AR168" i="5"/>
  <c r="AC169" i="5"/>
  <c r="AD169" i="5"/>
  <c r="AR169" i="5"/>
  <c r="AC170" i="5"/>
  <c r="AD170" i="5"/>
  <c r="AR170" i="5"/>
  <c r="AC171" i="5"/>
  <c r="AD171" i="5"/>
  <c r="AR171" i="5"/>
  <c r="AC172" i="5"/>
  <c r="AD172" i="5"/>
  <c r="AR172" i="5"/>
  <c r="O173" i="5"/>
  <c r="AC173" i="5"/>
  <c r="AD173" i="5"/>
  <c r="AR173" i="5"/>
  <c r="AC174" i="5"/>
  <c r="AD174" i="5"/>
  <c r="AR174" i="5"/>
  <c r="AC175" i="5"/>
  <c r="AD175" i="5"/>
  <c r="AR175" i="5"/>
  <c r="AC176" i="5"/>
  <c r="AD176" i="5"/>
  <c r="AR176" i="5"/>
  <c r="AC177" i="5"/>
  <c r="AD177" i="5"/>
  <c r="AR177" i="5"/>
  <c r="AC178" i="5"/>
  <c r="AD178" i="5"/>
  <c r="AR178" i="5"/>
  <c r="AC179" i="5"/>
  <c r="AD179" i="5"/>
  <c r="AR179" i="5"/>
  <c r="AC180" i="5"/>
  <c r="AD180" i="5"/>
  <c r="AR180" i="5"/>
  <c r="AC181" i="5"/>
  <c r="AD181" i="5"/>
  <c r="AR181" i="5"/>
  <c r="AC182" i="5"/>
  <c r="AD182" i="5"/>
  <c r="AR182" i="5"/>
  <c r="AC183" i="5"/>
  <c r="AD183" i="5"/>
  <c r="AR183" i="5"/>
  <c r="AC184" i="5"/>
  <c r="AD184" i="5"/>
  <c r="AR184" i="5"/>
  <c r="AC185" i="5"/>
  <c r="AD185" i="5"/>
  <c r="AR185" i="5"/>
  <c r="AC186" i="5"/>
  <c r="AD186" i="5"/>
  <c r="AR186" i="5"/>
  <c r="AC187" i="5"/>
  <c r="AD187" i="5"/>
  <c r="AR187" i="5"/>
  <c r="AC188" i="5"/>
  <c r="AD188" i="5"/>
  <c r="AR188" i="5"/>
  <c r="AC189" i="5"/>
  <c r="AD189" i="5"/>
  <c r="AR189" i="5"/>
  <c r="AC190" i="5"/>
  <c r="AD190" i="5"/>
  <c r="AR190" i="5"/>
  <c r="AC191" i="5"/>
  <c r="AD191" i="5"/>
  <c r="AR191" i="5"/>
  <c r="AC192" i="5"/>
  <c r="AD192" i="5"/>
  <c r="AR192" i="5"/>
  <c r="AC193" i="5"/>
  <c r="AD193" i="5"/>
  <c r="AR193" i="5"/>
  <c r="AC194" i="5"/>
  <c r="AD194" i="5"/>
  <c r="AR194" i="5"/>
  <c r="AC195" i="5"/>
  <c r="AD195" i="5"/>
  <c r="AR195" i="5"/>
  <c r="J196" i="5"/>
  <c r="J211" i="5" s="1"/>
  <c r="K196" i="5"/>
  <c r="K211" i="5" s="1"/>
  <c r="L196" i="5"/>
  <c r="L211" i="5" s="1"/>
  <c r="O196" i="5"/>
  <c r="P196" i="5"/>
  <c r="P211" i="5" s="1"/>
  <c r="Q196" i="5"/>
  <c r="Q211" i="5" s="1"/>
  <c r="U196" i="5"/>
  <c r="U211" i="5" s="1"/>
  <c r="V196" i="5"/>
  <c r="V211" i="5" s="1"/>
  <c r="W196" i="5"/>
  <c r="W211" i="5" s="1"/>
  <c r="X196" i="5"/>
  <c r="X211" i="5" s="1"/>
  <c r="Y196" i="5"/>
  <c r="Y211" i="5" s="1"/>
  <c r="Z196" i="5"/>
  <c r="Z211" i="5" s="1"/>
  <c r="AG196" i="5"/>
  <c r="AG211" i="5" s="1"/>
  <c r="AJ196" i="5"/>
  <c r="AM196" i="5"/>
  <c r="AM211" i="5" s="1"/>
  <c r="AQ196" i="5"/>
  <c r="AQ211" i="5" s="1"/>
  <c r="BG196" i="5"/>
  <c r="BH196" i="5"/>
  <c r="BH211" i="5" s="1"/>
  <c r="BI196" i="5"/>
  <c r="BJ196" i="5"/>
  <c r="BJ211" i="5" s="1"/>
  <c r="BK196" i="5"/>
  <c r="BK211" i="5" s="1"/>
  <c r="BA196" i="5"/>
  <c r="BA211" i="5" s="1"/>
  <c r="BB196" i="5"/>
  <c r="BC196" i="5"/>
  <c r="BC211" i="5" s="1"/>
  <c r="BD196" i="5"/>
  <c r="BD211" i="5" s="1"/>
  <c r="BE196" i="5"/>
  <c r="AC197" i="5"/>
  <c r="AD197" i="5"/>
  <c r="AR197" i="5"/>
  <c r="AC198" i="5"/>
  <c r="AD198" i="5"/>
  <c r="AR198" i="5"/>
  <c r="AC199" i="5"/>
  <c r="AD199" i="5"/>
  <c r="AR199" i="5"/>
  <c r="G199" i="5"/>
  <c r="AC200" i="5"/>
  <c r="AD200" i="5"/>
  <c r="AR200" i="5"/>
  <c r="AC201" i="5"/>
  <c r="AD201" i="5"/>
  <c r="AR201" i="5"/>
  <c r="AC202" i="5"/>
  <c r="AD202" i="5"/>
  <c r="AR202" i="5"/>
  <c r="AC203" i="5"/>
  <c r="AD203" i="5"/>
  <c r="AR203" i="5"/>
  <c r="AC204" i="5"/>
  <c r="AD204" i="5"/>
  <c r="AR204" i="5"/>
  <c r="AC205" i="5"/>
  <c r="AD205" i="5"/>
  <c r="AR205" i="5"/>
  <c r="AC206" i="5"/>
  <c r="AD206" i="5"/>
  <c r="AR206" i="5"/>
  <c r="AC207" i="5"/>
  <c r="AD207" i="5"/>
  <c r="AR207" i="5"/>
  <c r="AC208" i="5"/>
  <c r="AD208" i="5"/>
  <c r="AR208" i="5"/>
  <c r="AC209" i="5"/>
  <c r="AD209" i="5"/>
  <c r="AR209" i="5"/>
  <c r="M211" i="5"/>
  <c r="R211" i="5"/>
  <c r="AA211" i="5"/>
  <c r="AN211" i="5"/>
  <c r="AO211" i="5"/>
  <c r="AP211" i="5"/>
  <c r="BL211" i="5"/>
  <c r="BM211" i="5"/>
  <c r="AR196" i="5" l="1"/>
  <c r="AR211" i="5" s="1"/>
  <c r="BB211" i="5"/>
  <c r="BE211" i="5"/>
  <c r="BI211" i="5"/>
  <c r="O211" i="5"/>
  <c r="BG211" i="5"/>
  <c r="AJ211" i="5"/>
  <c r="AZ213" i="5"/>
  <c r="AR214" i="5" l="1"/>
  <c r="AR215" i="5"/>
  <c r="T214" i="5" l="1"/>
  <c r="T215" i="5"/>
  <c r="N214" i="5"/>
  <c r="N215" i="5"/>
  <c r="I215" i="5"/>
  <c r="I214" i="5"/>
  <c r="I196" i="5" s="1"/>
  <c r="I211" i="5" s="1"/>
  <c r="T196" i="5" l="1"/>
  <c r="T211" i="5" s="1"/>
  <c r="N196" i="5"/>
  <c r="N211" i="5" s="1"/>
  <c r="AO212" i="5"/>
  <c r="AO213" i="5" s="1"/>
  <c r="AM212" i="5"/>
  <c r="AD215" i="5" l="1"/>
  <c r="AD214" i="5"/>
  <c r="AC215" i="5"/>
  <c r="AC214" i="5"/>
  <c r="AC196" i="5" l="1"/>
  <c r="AC211" i="5" s="1"/>
  <c r="AD196" i="5"/>
  <c r="AD211" i="5" s="1"/>
  <c r="BI212" i="5" l="1"/>
  <c r="BB212" i="5" l="1"/>
  <c r="L212" i="5" l="1"/>
  <c r="L213" i="5" s="1"/>
  <c r="K212" i="5"/>
  <c r="K213" i="5" s="1"/>
  <c r="Z212" i="5"/>
  <c r="Y212" i="5"/>
  <c r="BH212" i="5" l="1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E17" i="4"/>
  <c r="E16" i="4"/>
  <c r="E15" i="4"/>
  <c r="E14" i="4"/>
  <c r="E13" i="4"/>
  <c r="E12" i="4"/>
  <c r="E11" i="4"/>
  <c r="E10" i="4"/>
  <c r="E9" i="4"/>
  <c r="E8" i="4"/>
  <c r="E6" i="4"/>
  <c r="E5" i="4"/>
  <c r="E4" i="4"/>
  <c r="E3" i="4"/>
  <c r="F18" i="4" l="1"/>
  <c r="E7" i="4" l="1"/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3" i="4"/>
  <c r="D34" i="4" l="1"/>
  <c r="D38" i="4"/>
  <c r="C40" i="4"/>
  <c r="C37" i="4" s="1"/>
  <c r="D31" i="4"/>
  <c r="C31" i="4" l="1"/>
  <c r="E31" i="4" s="1"/>
  <c r="C34" i="4"/>
  <c r="E34" i="4" s="1"/>
  <c r="C38" i="4"/>
  <c r="E38" i="4" s="1"/>
  <c r="C28" i="4"/>
  <c r="C39" i="4"/>
  <c r="C27" i="4"/>
  <c r="AK21" i="5" l="1"/>
  <c r="AK43" i="5"/>
  <c r="AK52" i="5"/>
  <c r="AK92" i="5"/>
  <c r="AK141" i="5"/>
  <c r="AK7" i="5"/>
  <c r="AK29" i="5"/>
  <c r="AK51" i="5"/>
  <c r="AK60" i="5"/>
  <c r="AK87" i="5"/>
  <c r="AK100" i="5"/>
  <c r="AK109" i="5"/>
  <c r="AK118" i="5"/>
  <c r="AK127" i="5"/>
  <c r="AK19" i="5"/>
  <c r="AK41" i="5"/>
  <c r="AK63" i="5"/>
  <c r="AK81" i="5"/>
  <c r="AK90" i="5"/>
  <c r="AK139" i="5"/>
  <c r="AK5" i="5"/>
  <c r="AK13" i="5"/>
  <c r="AK4" i="5"/>
  <c r="AK26" i="5"/>
  <c r="AK48" i="5"/>
  <c r="AK57" i="5"/>
  <c r="AK97" i="5"/>
  <c r="AK106" i="5"/>
  <c r="AK115" i="5"/>
  <c r="AK124" i="5"/>
  <c r="AK151" i="5"/>
  <c r="AK3" i="5"/>
  <c r="AK42" i="5"/>
  <c r="AK86" i="5"/>
  <c r="AK99" i="5"/>
  <c r="AK152" i="5"/>
  <c r="AK161" i="5"/>
  <c r="AK182" i="5"/>
  <c r="AK186" i="5"/>
  <c r="AK190" i="5"/>
  <c r="AK194" i="5"/>
  <c r="AK16" i="5"/>
  <c r="AK28" i="5"/>
  <c r="AK75" i="5"/>
  <c r="AK31" i="5"/>
  <c r="AK108" i="5"/>
  <c r="AK135" i="5"/>
  <c r="AK168" i="5"/>
  <c r="AK23" i="5"/>
  <c r="AK49" i="5"/>
  <c r="AK147" i="5"/>
  <c r="AK159" i="5"/>
  <c r="AK181" i="5"/>
  <c r="AK200" i="5"/>
  <c r="AK46" i="5"/>
  <c r="AK55" i="5"/>
  <c r="AK34" i="5"/>
  <c r="AK37" i="5"/>
  <c r="AK40" i="5"/>
  <c r="AK78" i="5"/>
  <c r="AK98" i="5"/>
  <c r="AK104" i="5"/>
  <c r="AK95" i="5"/>
  <c r="AK8" i="5"/>
  <c r="AK25" i="5"/>
  <c r="AK54" i="5"/>
  <c r="AK18" i="5"/>
  <c r="AK66" i="5"/>
  <c r="AK83" i="5"/>
  <c r="AK101" i="5"/>
  <c r="AK122" i="5"/>
  <c r="AK136" i="5"/>
  <c r="AK188" i="5"/>
  <c r="AK6" i="5"/>
  <c r="AK27" i="5"/>
  <c r="AK32" i="5"/>
  <c r="AK39" i="5"/>
  <c r="AK61" i="5"/>
  <c r="AK71" i="5"/>
  <c r="AK88" i="5"/>
  <c r="AK133" i="5"/>
  <c r="AK145" i="5"/>
  <c r="AK175" i="5"/>
  <c r="AK191" i="5"/>
  <c r="AK199" i="5"/>
  <c r="AK202" i="5"/>
  <c r="AK20" i="5"/>
  <c r="AK111" i="5"/>
  <c r="AK119" i="5"/>
  <c r="AK130" i="5"/>
  <c r="AK148" i="5"/>
  <c r="AK162" i="5"/>
  <c r="AK22" i="5"/>
  <c r="AK58" i="5"/>
  <c r="AK73" i="5"/>
  <c r="AK205" i="5"/>
  <c r="AK80" i="5"/>
  <c r="AK85" i="5"/>
  <c r="AK24" i="5"/>
  <c r="AK36" i="5"/>
  <c r="AK113" i="5"/>
  <c r="AK158" i="5"/>
  <c r="AK187" i="5"/>
  <c r="AK50" i="5"/>
  <c r="AK132" i="5"/>
  <c r="AK144" i="5"/>
  <c r="AK174" i="5"/>
  <c r="AK198" i="5"/>
  <c r="AK201" i="5"/>
  <c r="AK45" i="5"/>
  <c r="AK65" i="5"/>
  <c r="AK70" i="5"/>
  <c r="AK82" i="5"/>
  <c r="AK154" i="5"/>
  <c r="AK14" i="5"/>
  <c r="AK121" i="5"/>
  <c r="AK110" i="5"/>
  <c r="AK112" i="5"/>
  <c r="AK146" i="5"/>
  <c r="AK62" i="5"/>
  <c r="AK64" i="5"/>
  <c r="AK68" i="5"/>
  <c r="AK123" i="5"/>
  <c r="AK12" i="5"/>
  <c r="AK10" i="5"/>
  <c r="AK33" i="5"/>
  <c r="AK17" i="5"/>
  <c r="AK53" i="5"/>
  <c r="AK120" i="5"/>
  <c r="AK131" i="5"/>
  <c r="AK173" i="5"/>
  <c r="AK178" i="5"/>
  <c r="AK189" i="5"/>
  <c r="AK208" i="5"/>
  <c r="AK15" i="5"/>
  <c r="AK59" i="5"/>
  <c r="AK103" i="5"/>
  <c r="AK105" i="5"/>
  <c r="AK138" i="5"/>
  <c r="AK170" i="5"/>
  <c r="AK196" i="5"/>
  <c r="AK107" i="5"/>
  <c r="AK96" i="5"/>
  <c r="AK140" i="5"/>
  <c r="AK183" i="5"/>
  <c r="AK67" i="5"/>
  <c r="AK69" i="5"/>
  <c r="AK117" i="5"/>
  <c r="AK142" i="5"/>
  <c r="AK157" i="5"/>
  <c r="AK172" i="5"/>
  <c r="AK197" i="5"/>
  <c r="AK207" i="5"/>
  <c r="AK30" i="5"/>
  <c r="AK38" i="5"/>
  <c r="AK44" i="5"/>
  <c r="AK77" i="5"/>
  <c r="AK91" i="5"/>
  <c r="AK177" i="5"/>
  <c r="AK193" i="5"/>
  <c r="AK9" i="5"/>
  <c r="AK89" i="5"/>
  <c r="AK56" i="5"/>
  <c r="AK79" i="5"/>
  <c r="AK93" i="5"/>
  <c r="AK102" i="5"/>
  <c r="AK128" i="5"/>
  <c r="AK137" i="5"/>
  <c r="AK185" i="5"/>
  <c r="AK11" i="5"/>
  <c r="AK134" i="5"/>
  <c r="AK76" i="5"/>
  <c r="AK116" i="5"/>
  <c r="AK143" i="5"/>
  <c r="AK72" i="5"/>
  <c r="AK84" i="5"/>
  <c r="AK150" i="5"/>
  <c r="AK166" i="5"/>
  <c r="AK176" i="5"/>
  <c r="AK195" i="5"/>
  <c r="AK160" i="5"/>
  <c r="AK35" i="5"/>
  <c r="AK47" i="5"/>
  <c r="AK126" i="5"/>
  <c r="AK156" i="5"/>
  <c r="AK184" i="5"/>
  <c r="AK94" i="5"/>
  <c r="AK179" i="5"/>
  <c r="AK125" i="5"/>
  <c r="AK155" i="5"/>
  <c r="AK164" i="5"/>
  <c r="AK74" i="5"/>
  <c r="AK114" i="5"/>
  <c r="AK180" i="5"/>
  <c r="AK203" i="5"/>
  <c r="AK169" i="5"/>
  <c r="AK171" i="5"/>
  <c r="AK192" i="5"/>
  <c r="AK209" i="5"/>
  <c r="AK149" i="5"/>
  <c r="AK129" i="5"/>
  <c r="AK153" i="5"/>
  <c r="AK163" i="5"/>
  <c r="AK167" i="5"/>
  <c r="AK165" i="5"/>
  <c r="AK204" i="5"/>
  <c r="AK206" i="5"/>
  <c r="AH12" i="5"/>
  <c r="AH34" i="5"/>
  <c r="AH65" i="5"/>
  <c r="AH74" i="5"/>
  <c r="AH83" i="5"/>
  <c r="AH132" i="5"/>
  <c r="AH20" i="5"/>
  <c r="AH42" i="5"/>
  <c r="AH82" i="5"/>
  <c r="AH91" i="5"/>
  <c r="AH10" i="5"/>
  <c r="AH32" i="5"/>
  <c r="AH72" i="5"/>
  <c r="AH112" i="5"/>
  <c r="AH121" i="5"/>
  <c r="AH130" i="5"/>
  <c r="AH14" i="5"/>
  <c r="AH18" i="5"/>
  <c r="AH4" i="5"/>
  <c r="AH17" i="5"/>
  <c r="AH39" i="5"/>
  <c r="AH79" i="5"/>
  <c r="AH137" i="5"/>
  <c r="AH146" i="5"/>
  <c r="AH156" i="5"/>
  <c r="AH183" i="5"/>
  <c r="AH207" i="5"/>
  <c r="AH3" i="5"/>
  <c r="AH22" i="5"/>
  <c r="AH45" i="5"/>
  <c r="AH52" i="5"/>
  <c r="AH119" i="5"/>
  <c r="AH136" i="5"/>
  <c r="AH165" i="5"/>
  <c r="AH200" i="5"/>
  <c r="AH16" i="5"/>
  <c r="AH13" i="5"/>
  <c r="AH7" i="5"/>
  <c r="AH68" i="5"/>
  <c r="AH95" i="5"/>
  <c r="AH105" i="5"/>
  <c r="AH21" i="5"/>
  <c r="AH54" i="5"/>
  <c r="AH64" i="5"/>
  <c r="AH78" i="5"/>
  <c r="AH128" i="5"/>
  <c r="AH142" i="5"/>
  <c r="AH172" i="5"/>
  <c r="AH199" i="5"/>
  <c r="AH203" i="5"/>
  <c r="AH46" i="5"/>
  <c r="AH55" i="5"/>
  <c r="AH90" i="5"/>
  <c r="AH93" i="5"/>
  <c r="AH110" i="5"/>
  <c r="AH113" i="5"/>
  <c r="AH151" i="5"/>
  <c r="AH155" i="5"/>
  <c r="AH177" i="5"/>
  <c r="AH81" i="5"/>
  <c r="AH37" i="5"/>
  <c r="AH40" i="5"/>
  <c r="AH6" i="5"/>
  <c r="AH15" i="5"/>
  <c r="AH66" i="5"/>
  <c r="AH75" i="5"/>
  <c r="AH8" i="5"/>
  <c r="AH25" i="5"/>
  <c r="AH115" i="5"/>
  <c r="AH206" i="5"/>
  <c r="AH48" i="5"/>
  <c r="AH27" i="5"/>
  <c r="AH51" i="5"/>
  <c r="AH61" i="5"/>
  <c r="AH71" i="5"/>
  <c r="AH88" i="5"/>
  <c r="AH133" i="5"/>
  <c r="AH145" i="5"/>
  <c r="AH159" i="5"/>
  <c r="AH175" i="5"/>
  <c r="AH191" i="5"/>
  <c r="AH202" i="5"/>
  <c r="AH111" i="5"/>
  <c r="AH148" i="5"/>
  <c r="AH162" i="5"/>
  <c r="AH106" i="5"/>
  <c r="AH116" i="5"/>
  <c r="AH80" i="5"/>
  <c r="AH85" i="5"/>
  <c r="AH53" i="5"/>
  <c r="AH63" i="5"/>
  <c r="AH43" i="5"/>
  <c r="AH50" i="5"/>
  <c r="AH135" i="5"/>
  <c r="AH144" i="5"/>
  <c r="AH174" i="5"/>
  <c r="AH198" i="5"/>
  <c r="AH201" i="5"/>
  <c r="AH29" i="5"/>
  <c r="AH70" i="5"/>
  <c r="AH100" i="5"/>
  <c r="AH154" i="5"/>
  <c r="AH161" i="5"/>
  <c r="AH190" i="5"/>
  <c r="AH193" i="5"/>
  <c r="AH60" i="5"/>
  <c r="AH147" i="5"/>
  <c r="AH164" i="5"/>
  <c r="AH167" i="5"/>
  <c r="AH5" i="5"/>
  <c r="AH104" i="5"/>
  <c r="AH139" i="5"/>
  <c r="AH62" i="5"/>
  <c r="AH97" i="5"/>
  <c r="AH123" i="5"/>
  <c r="AH108" i="5"/>
  <c r="AH134" i="5"/>
  <c r="AH23" i="5"/>
  <c r="AH19" i="5"/>
  <c r="AH59" i="5"/>
  <c r="AH103" i="5"/>
  <c r="AH138" i="5"/>
  <c r="AH158" i="5"/>
  <c r="AH170" i="5"/>
  <c r="AH186" i="5"/>
  <c r="AH194" i="5"/>
  <c r="AH107" i="5"/>
  <c r="AH96" i="5"/>
  <c r="AH140" i="5"/>
  <c r="AH67" i="5"/>
  <c r="AH69" i="5"/>
  <c r="AH122" i="5"/>
  <c r="AH160" i="5"/>
  <c r="AH205" i="5"/>
  <c r="AH11" i="5"/>
  <c r="AH98" i="5"/>
  <c r="AH109" i="5"/>
  <c r="AH126" i="5"/>
  <c r="AH24" i="5"/>
  <c r="AH26" i="5"/>
  <c r="AH28" i="5"/>
  <c r="AH30" i="5"/>
  <c r="AH38" i="5"/>
  <c r="AH44" i="5"/>
  <c r="AH77" i="5"/>
  <c r="AH188" i="5"/>
  <c r="AH9" i="5"/>
  <c r="AH36" i="5"/>
  <c r="AH87" i="5"/>
  <c r="AH89" i="5"/>
  <c r="AH56" i="5"/>
  <c r="AH102" i="5"/>
  <c r="AH185" i="5"/>
  <c r="AH169" i="5"/>
  <c r="AH41" i="5"/>
  <c r="AH141" i="5"/>
  <c r="AH118" i="5"/>
  <c r="AH143" i="5"/>
  <c r="AH76" i="5"/>
  <c r="AH127" i="5"/>
  <c r="AH58" i="5"/>
  <c r="AH114" i="5"/>
  <c r="AH86" i="5"/>
  <c r="AH84" i="5"/>
  <c r="AH168" i="5"/>
  <c r="AH152" i="5"/>
  <c r="AH35" i="5"/>
  <c r="AH47" i="5"/>
  <c r="AH49" i="5"/>
  <c r="AH178" i="5"/>
  <c r="AH180" i="5"/>
  <c r="AH94" i="5"/>
  <c r="AH73" i="5"/>
  <c r="AH131" i="5"/>
  <c r="AH157" i="5"/>
  <c r="AH187" i="5"/>
  <c r="AH189" i="5"/>
  <c r="AH208" i="5"/>
  <c r="AH33" i="5"/>
  <c r="AH117" i="5"/>
  <c r="AH182" i="5"/>
  <c r="AH184" i="5"/>
  <c r="AH124" i="5"/>
  <c r="AH31" i="5"/>
  <c r="AH57" i="5"/>
  <c r="AH101" i="5"/>
  <c r="AH171" i="5"/>
  <c r="AH192" i="5"/>
  <c r="AH209" i="5"/>
  <c r="AH92" i="5"/>
  <c r="AH99" i="5"/>
  <c r="AH149" i="5"/>
  <c r="AH197" i="5"/>
  <c r="AH129" i="5"/>
  <c r="AH153" i="5"/>
  <c r="AH163" i="5"/>
  <c r="AH120" i="5"/>
  <c r="AH173" i="5"/>
  <c r="AH179" i="5"/>
  <c r="AH125" i="5"/>
  <c r="AH181" i="5"/>
  <c r="AH204" i="5"/>
  <c r="AH150" i="5"/>
  <c r="AH166" i="5"/>
  <c r="AH176" i="5"/>
  <c r="AH195" i="5"/>
  <c r="AH196" i="5"/>
  <c r="C29" i="4"/>
  <c r="AK211" i="5" l="1"/>
  <c r="AH211" i="5"/>
  <c r="D37" i="4"/>
  <c r="E37" i="4" s="1"/>
  <c r="AP212" i="5" l="1"/>
  <c r="AP213" i="5" s="1"/>
  <c r="D39" i="4" l="1"/>
  <c r="E39" i="4" s="1"/>
  <c r="AN212" i="5"/>
  <c r="AS17" i="5" l="1"/>
  <c r="AS93" i="5"/>
  <c r="AS181" i="5"/>
  <c r="AS72" i="5"/>
  <c r="AS152" i="5"/>
  <c r="AS155" i="5"/>
  <c r="AS198" i="5"/>
  <c r="AS71" i="5"/>
  <c r="AS204" i="5"/>
  <c r="AS190" i="5"/>
  <c r="AS103" i="5"/>
  <c r="AS203" i="5"/>
  <c r="AS73" i="5"/>
  <c r="AS201" i="5"/>
  <c r="AS94" i="5"/>
  <c r="AS100" i="5"/>
  <c r="AS34" i="5"/>
  <c r="AS205" i="5"/>
  <c r="AS126" i="5"/>
  <c r="AS88" i="5"/>
  <c r="AS62" i="5"/>
  <c r="AS149" i="5"/>
  <c r="AS74" i="5"/>
  <c r="AS29" i="5"/>
  <c r="AS128" i="5"/>
  <c r="AS169" i="5"/>
  <c r="AS83" i="5"/>
  <c r="AS171" i="5"/>
  <c r="AS163" i="5"/>
  <c r="AS167" i="5"/>
  <c r="AS86" i="5"/>
  <c r="AS97" i="5"/>
  <c r="AS134" i="5"/>
  <c r="AS120" i="5"/>
  <c r="AS180" i="5"/>
  <c r="AS106" i="5"/>
  <c r="AS208" i="5"/>
  <c r="AS166" i="5"/>
  <c r="AS116" i="5"/>
  <c r="AS159" i="5"/>
  <c r="AS75" i="5"/>
  <c r="AS57" i="5"/>
  <c r="AS36" i="5"/>
  <c r="AS195" i="5"/>
  <c r="AS189" i="5"/>
  <c r="AS35" i="5"/>
  <c r="AS59" i="5"/>
  <c r="AS55" i="5"/>
  <c r="AS170" i="5"/>
  <c r="AS196" i="5"/>
  <c r="AS156" i="5"/>
  <c r="AS118" i="5"/>
  <c r="AS112" i="5"/>
  <c r="AS132" i="5"/>
  <c r="AS84" i="5"/>
  <c r="AS85" i="5"/>
  <c r="AS4" i="5"/>
  <c r="AS9" i="5"/>
  <c r="AS153" i="5"/>
  <c r="AS7" i="5"/>
  <c r="AS63" i="5"/>
  <c r="AS165" i="5"/>
  <c r="AS140" i="5"/>
  <c r="AS66" i="5"/>
  <c r="AS147" i="5"/>
  <c r="AS39" i="5"/>
  <c r="AS161" i="5"/>
  <c r="AS185" i="5"/>
  <c r="AS133" i="5"/>
  <c r="AS182" i="5"/>
  <c r="AS179" i="5"/>
  <c r="AS101" i="5"/>
  <c r="AS110" i="5"/>
  <c r="AS194" i="5"/>
  <c r="AS173" i="5"/>
  <c r="AS111" i="5"/>
  <c r="AS15" i="5"/>
  <c r="AS20" i="5"/>
  <c r="AS145" i="5"/>
  <c r="AS209" i="5"/>
  <c r="AS107" i="5"/>
  <c r="AS44" i="5"/>
  <c r="AS79" i="5"/>
  <c r="AS188" i="5"/>
  <c r="AS67" i="5"/>
  <c r="AS139" i="5"/>
  <c r="AS8" i="5"/>
  <c r="AS108" i="5"/>
  <c r="AS76" i="5"/>
  <c r="AS131" i="5"/>
  <c r="AS11" i="5"/>
  <c r="AS175" i="5"/>
  <c r="AS81" i="5"/>
  <c r="AS91" i="5"/>
  <c r="AS21" i="5"/>
  <c r="AS42" i="5"/>
  <c r="AS27" i="5"/>
  <c r="AS127" i="5"/>
  <c r="AS142" i="5"/>
  <c r="AS137" i="5"/>
  <c r="AS199" i="5"/>
  <c r="AS119" i="5"/>
  <c r="AS146" i="5"/>
  <c r="AS18" i="5"/>
  <c r="AS121" i="5"/>
  <c r="AS129" i="5"/>
  <c r="AS187" i="5"/>
  <c r="AS197" i="5"/>
  <c r="AS192" i="5"/>
  <c r="AS176" i="5"/>
  <c r="AS174" i="5"/>
  <c r="AS162" i="5"/>
  <c r="AS33" i="5"/>
  <c r="AS109" i="5"/>
  <c r="AS65" i="5"/>
  <c r="AS52" i="5"/>
  <c r="AS200" i="5"/>
  <c r="AS10" i="5"/>
  <c r="AS12" i="5"/>
  <c r="AS49" i="5"/>
  <c r="AS46" i="5"/>
  <c r="AS141" i="5"/>
  <c r="AS3" i="5"/>
  <c r="AS6" i="5"/>
  <c r="AS122" i="5"/>
  <c r="AS150" i="5"/>
  <c r="AS51" i="5"/>
  <c r="AS138" i="5"/>
  <c r="AS143" i="5"/>
  <c r="AS92" i="5"/>
  <c r="AS184" i="5"/>
  <c r="AS99" i="5"/>
  <c r="AS136" i="5"/>
  <c r="AS28" i="5"/>
  <c r="AS178" i="5"/>
  <c r="AS157" i="5"/>
  <c r="AS64" i="5"/>
  <c r="AS41" i="5"/>
  <c r="AS48" i="5"/>
  <c r="AS172" i="5"/>
  <c r="AS183" i="5"/>
  <c r="AS191" i="5"/>
  <c r="AS87" i="5"/>
  <c r="AS22" i="5"/>
  <c r="AS40" i="5"/>
  <c r="AS25" i="5"/>
  <c r="AS45" i="5"/>
  <c r="AS151" i="5"/>
  <c r="AS47" i="5"/>
  <c r="AS206" i="5"/>
  <c r="AS31" i="5"/>
  <c r="AS56" i="5"/>
  <c r="AS32" i="5"/>
  <c r="AS5" i="5"/>
  <c r="AS96" i="5"/>
  <c r="AS24" i="5"/>
  <c r="AS23" i="5"/>
  <c r="AS53" i="5"/>
  <c r="AS105" i="5"/>
  <c r="AS26" i="5"/>
  <c r="AS124" i="5"/>
  <c r="AS114" i="5"/>
  <c r="AS13" i="5"/>
  <c r="AS58" i="5"/>
  <c r="AS60" i="5"/>
  <c r="AS130" i="5"/>
  <c r="AS43" i="5"/>
  <c r="AS186" i="5"/>
  <c r="AS117" i="5"/>
  <c r="AS54" i="5"/>
  <c r="AS123" i="5"/>
  <c r="AS16" i="5"/>
  <c r="AS61" i="5"/>
  <c r="AS69" i="5"/>
  <c r="AS148" i="5"/>
  <c r="AS113" i="5"/>
  <c r="AS89" i="5"/>
  <c r="AS104" i="5"/>
  <c r="AS158" i="5"/>
  <c r="AS202" i="5"/>
  <c r="AS37" i="5"/>
  <c r="AS70" i="5"/>
  <c r="AS102" i="5"/>
  <c r="AS207" i="5"/>
  <c r="AS82" i="5"/>
  <c r="AS144" i="5"/>
  <c r="AS77" i="5"/>
  <c r="AS78" i="5"/>
  <c r="AS38" i="5"/>
  <c r="AS95" i="5"/>
  <c r="AS80" i="5"/>
  <c r="AS115" i="5"/>
  <c r="AS177" i="5"/>
  <c r="AS125" i="5"/>
  <c r="AS90" i="5"/>
  <c r="AS193" i="5"/>
  <c r="AS14" i="5"/>
  <c r="AS98" i="5"/>
  <c r="AS160" i="5"/>
  <c r="AS19" i="5"/>
  <c r="AS50" i="5"/>
  <c r="AS164" i="5"/>
  <c r="AS168" i="5"/>
  <c r="AS154" i="5"/>
  <c r="AS68" i="5"/>
  <c r="AS30" i="5"/>
  <c r="AS135" i="5"/>
  <c r="AS214" i="5"/>
  <c r="D28" i="4"/>
  <c r="E28" i="4" s="1"/>
  <c r="D27" i="4"/>
  <c r="AS211" i="5" l="1"/>
  <c r="D29" i="4"/>
  <c r="E27" i="4"/>
  <c r="AE5" i="5" l="1"/>
  <c r="AU5" i="5" s="1"/>
  <c r="AV5" i="5" s="1"/>
  <c r="AW5" i="5" s="1"/>
  <c r="AX5" i="5" s="1"/>
  <c r="G5" i="5" s="1"/>
  <c r="AE65" i="5"/>
  <c r="AU65" i="5" s="1"/>
  <c r="AV65" i="5" s="1"/>
  <c r="AW65" i="5" s="1"/>
  <c r="AX65" i="5" s="1"/>
  <c r="G65" i="5" s="1"/>
  <c r="AE109" i="5"/>
  <c r="AU109" i="5" s="1"/>
  <c r="AV109" i="5" s="1"/>
  <c r="AW109" i="5" s="1"/>
  <c r="AX109" i="5" s="1"/>
  <c r="G109" i="5" s="1"/>
  <c r="AE169" i="5"/>
  <c r="AU169" i="5" s="1"/>
  <c r="AV169" i="5" s="1"/>
  <c r="AW169" i="5" s="1"/>
  <c r="AX169" i="5" s="1"/>
  <c r="G169" i="5" s="1"/>
  <c r="AE13" i="5"/>
  <c r="AU13" i="5" s="1"/>
  <c r="AV13" i="5" s="1"/>
  <c r="AW13" i="5" s="1"/>
  <c r="AX13" i="5" s="1"/>
  <c r="G13" i="5" s="1"/>
  <c r="AE10" i="5"/>
  <c r="AU10" i="5" s="1"/>
  <c r="AV10" i="5" s="1"/>
  <c r="AW10" i="5" s="1"/>
  <c r="AX10" i="5" s="1"/>
  <c r="G10" i="5" s="1"/>
  <c r="AE85" i="5"/>
  <c r="AU85" i="5" s="1"/>
  <c r="AV85" i="5" s="1"/>
  <c r="AW85" i="5" s="1"/>
  <c r="AX85" i="5" s="1"/>
  <c r="G85" i="5" s="1"/>
  <c r="AE98" i="5"/>
  <c r="AU98" i="5" s="1"/>
  <c r="AV98" i="5" s="1"/>
  <c r="AW98" i="5" s="1"/>
  <c r="AX98" i="5" s="1"/>
  <c r="G98" i="5" s="1"/>
  <c r="AE34" i="5"/>
  <c r="AU34" i="5" s="1"/>
  <c r="AV34" i="5" s="1"/>
  <c r="AW34" i="5" s="1"/>
  <c r="AX34" i="5" s="1"/>
  <c r="G34" i="5" s="1"/>
  <c r="AE118" i="5"/>
  <c r="AU118" i="5" s="1"/>
  <c r="AV118" i="5" s="1"/>
  <c r="AW118" i="5" s="1"/>
  <c r="AX118" i="5" s="1"/>
  <c r="G118" i="5" s="1"/>
  <c r="AE12" i="5"/>
  <c r="AU12" i="5" s="1"/>
  <c r="AV12" i="5" s="1"/>
  <c r="AW12" i="5" s="1"/>
  <c r="AX12" i="5" s="1"/>
  <c r="G12" i="5" s="1"/>
  <c r="AE107" i="5"/>
  <c r="AU107" i="5" s="1"/>
  <c r="AV107" i="5" s="1"/>
  <c r="AW107" i="5" s="1"/>
  <c r="AX107" i="5" s="1"/>
  <c r="G107" i="5" s="1"/>
  <c r="AE184" i="5"/>
  <c r="AU184" i="5" s="1"/>
  <c r="AV184" i="5" s="1"/>
  <c r="AW184" i="5" s="1"/>
  <c r="AX184" i="5" s="1"/>
  <c r="G184" i="5" s="1"/>
  <c r="AE6" i="5"/>
  <c r="AU6" i="5" s="1"/>
  <c r="AV6" i="5" s="1"/>
  <c r="AW6" i="5" s="1"/>
  <c r="AX6" i="5" s="1"/>
  <c r="G6" i="5" s="1"/>
  <c r="AE15" i="5"/>
  <c r="AU15" i="5" s="1"/>
  <c r="AV15" i="5" s="1"/>
  <c r="AW15" i="5" s="1"/>
  <c r="AX15" i="5" s="1"/>
  <c r="G15" i="5" s="1"/>
  <c r="AE48" i="5"/>
  <c r="AU48" i="5" s="1"/>
  <c r="AV48" i="5" s="1"/>
  <c r="AW48" i="5" s="1"/>
  <c r="AX48" i="5" s="1"/>
  <c r="G48" i="5" s="1"/>
  <c r="AE92" i="5"/>
  <c r="AU92" i="5" s="1"/>
  <c r="AV92" i="5" s="1"/>
  <c r="AW92" i="5" s="1"/>
  <c r="AX92" i="5" s="1"/>
  <c r="G92" i="5" s="1"/>
  <c r="AE51" i="5"/>
  <c r="AU51" i="5" s="1"/>
  <c r="AV51" i="5" s="1"/>
  <c r="AW51" i="5" s="1"/>
  <c r="AX51" i="5" s="1"/>
  <c r="G51" i="5" s="1"/>
  <c r="AE162" i="5"/>
  <c r="AU162" i="5" s="1"/>
  <c r="AV162" i="5" s="1"/>
  <c r="AW162" i="5" s="1"/>
  <c r="AX162" i="5" s="1"/>
  <c r="G162" i="5" s="1"/>
  <c r="AE106" i="5"/>
  <c r="AU106" i="5" s="1"/>
  <c r="AV106" i="5" s="1"/>
  <c r="AW106" i="5" s="1"/>
  <c r="AX106" i="5" s="1"/>
  <c r="G106" i="5" s="1"/>
  <c r="AE116" i="5"/>
  <c r="AU116" i="5" s="1"/>
  <c r="AV116" i="5" s="1"/>
  <c r="AW116" i="5" s="1"/>
  <c r="AX116" i="5" s="1"/>
  <c r="G116" i="5" s="1"/>
  <c r="AE178" i="5"/>
  <c r="AU178" i="5" s="1"/>
  <c r="AV178" i="5" s="1"/>
  <c r="AW178" i="5" s="1"/>
  <c r="AX178" i="5" s="1"/>
  <c r="G178" i="5" s="1"/>
  <c r="AE41" i="5"/>
  <c r="AU41" i="5" s="1"/>
  <c r="AV41" i="5" s="1"/>
  <c r="AW41" i="5" s="1"/>
  <c r="AX41" i="5" s="1"/>
  <c r="G41" i="5" s="1"/>
  <c r="AE58" i="5"/>
  <c r="AU58" i="5" s="1"/>
  <c r="AV58" i="5" s="1"/>
  <c r="AW58" i="5" s="1"/>
  <c r="AX58" i="5" s="1"/>
  <c r="G58" i="5" s="1"/>
  <c r="AE68" i="5"/>
  <c r="AU68" i="5" s="1"/>
  <c r="AV68" i="5" s="1"/>
  <c r="AW68" i="5" s="1"/>
  <c r="AX68" i="5" s="1"/>
  <c r="G68" i="5" s="1"/>
  <c r="AE93" i="5"/>
  <c r="AU93" i="5" s="1"/>
  <c r="AV93" i="5" s="1"/>
  <c r="AW93" i="5" s="1"/>
  <c r="AX93" i="5" s="1"/>
  <c r="G93" i="5" s="1"/>
  <c r="AE168" i="5"/>
  <c r="AU168" i="5" s="1"/>
  <c r="AV168" i="5" s="1"/>
  <c r="AW168" i="5" s="1"/>
  <c r="AX168" i="5" s="1"/>
  <c r="G168" i="5" s="1"/>
  <c r="AE127" i="5"/>
  <c r="AU127" i="5" s="1"/>
  <c r="AV127" i="5" s="1"/>
  <c r="AW127" i="5" s="1"/>
  <c r="AX127" i="5" s="1"/>
  <c r="G127" i="5" s="1"/>
  <c r="AE36" i="5"/>
  <c r="AU36" i="5" s="1"/>
  <c r="AV36" i="5" s="1"/>
  <c r="AW36" i="5" s="1"/>
  <c r="AX36" i="5" s="1"/>
  <c r="G36" i="5" s="1"/>
  <c r="AE29" i="5"/>
  <c r="AU29" i="5" s="1"/>
  <c r="AV29" i="5" s="1"/>
  <c r="AW29" i="5" s="1"/>
  <c r="AX29" i="5" s="1"/>
  <c r="G29" i="5" s="1"/>
  <c r="AE95" i="5"/>
  <c r="AU95" i="5" s="1"/>
  <c r="AV95" i="5" s="1"/>
  <c r="AW95" i="5" s="1"/>
  <c r="AX95" i="5" s="1"/>
  <c r="G95" i="5" s="1"/>
  <c r="AE100" i="5"/>
  <c r="AU100" i="5" s="1"/>
  <c r="AV100" i="5" s="1"/>
  <c r="AW100" i="5" s="1"/>
  <c r="AX100" i="5" s="1"/>
  <c r="G100" i="5" s="1"/>
  <c r="AE132" i="5"/>
  <c r="AU132" i="5" s="1"/>
  <c r="AV132" i="5" s="1"/>
  <c r="AW132" i="5" s="1"/>
  <c r="AX132" i="5" s="1"/>
  <c r="G132" i="5" s="1"/>
  <c r="AE154" i="5"/>
  <c r="AU154" i="5" s="1"/>
  <c r="AV154" i="5" s="1"/>
  <c r="AW154" i="5" s="1"/>
  <c r="AX154" i="5" s="1"/>
  <c r="G154" i="5" s="1"/>
  <c r="AE161" i="5"/>
  <c r="AU161" i="5" s="1"/>
  <c r="AV161" i="5" s="1"/>
  <c r="AW161" i="5" s="1"/>
  <c r="AX161" i="5" s="1"/>
  <c r="G161" i="5" s="1"/>
  <c r="AE60" i="5"/>
  <c r="AU60" i="5" s="1"/>
  <c r="AV60" i="5" s="1"/>
  <c r="AW60" i="5" s="1"/>
  <c r="AX60" i="5" s="1"/>
  <c r="G60" i="5" s="1"/>
  <c r="AE75" i="5"/>
  <c r="AU75" i="5" s="1"/>
  <c r="AV75" i="5" s="1"/>
  <c r="AW75" i="5" s="1"/>
  <c r="AX75" i="5" s="1"/>
  <c r="G75" i="5" s="1"/>
  <c r="AE77" i="5"/>
  <c r="AU77" i="5" s="1"/>
  <c r="AV77" i="5" s="1"/>
  <c r="AW77" i="5" s="1"/>
  <c r="AX77" i="5" s="1"/>
  <c r="G77" i="5" s="1"/>
  <c r="AE126" i="5"/>
  <c r="AU126" i="5" s="1"/>
  <c r="AV126" i="5" s="1"/>
  <c r="AW126" i="5" s="1"/>
  <c r="AX126" i="5" s="1"/>
  <c r="G126" i="5" s="1"/>
  <c r="AE104" i="5"/>
  <c r="AU104" i="5" s="1"/>
  <c r="AV104" i="5" s="1"/>
  <c r="AW104" i="5" s="1"/>
  <c r="AX104" i="5" s="1"/>
  <c r="G104" i="5" s="1"/>
  <c r="AE121" i="5"/>
  <c r="AU121" i="5" s="1"/>
  <c r="AV121" i="5" s="1"/>
  <c r="AW121" i="5" s="1"/>
  <c r="AX121" i="5" s="1"/>
  <c r="G121" i="5" s="1"/>
  <c r="AE139" i="5"/>
  <c r="AU139" i="5" s="1"/>
  <c r="AV139" i="5" s="1"/>
  <c r="AW139" i="5" s="1"/>
  <c r="AX139" i="5" s="1"/>
  <c r="G139" i="5" s="1"/>
  <c r="AE97" i="5"/>
  <c r="AU97" i="5" s="1"/>
  <c r="AV97" i="5" s="1"/>
  <c r="AW97" i="5" s="1"/>
  <c r="AX97" i="5" s="1"/>
  <c r="G97" i="5" s="1"/>
  <c r="AE66" i="5"/>
  <c r="AU66" i="5" s="1"/>
  <c r="AV66" i="5" s="1"/>
  <c r="AW66" i="5" s="1"/>
  <c r="AX66" i="5" s="1"/>
  <c r="G66" i="5" s="1"/>
  <c r="AE151" i="5"/>
  <c r="AU151" i="5" s="1"/>
  <c r="AV151" i="5" s="1"/>
  <c r="AW151" i="5" s="1"/>
  <c r="AX151" i="5" s="1"/>
  <c r="G151" i="5" s="1"/>
  <c r="AE125" i="5"/>
  <c r="AU125" i="5" s="1"/>
  <c r="AV125" i="5" s="1"/>
  <c r="AW125" i="5" s="1"/>
  <c r="AX125" i="5" s="1"/>
  <c r="G125" i="5" s="1"/>
  <c r="AE19" i="5"/>
  <c r="AU19" i="5" s="1"/>
  <c r="AV19" i="5" s="1"/>
  <c r="AW19" i="5" s="1"/>
  <c r="AX19" i="5" s="1"/>
  <c r="G19" i="5" s="1"/>
  <c r="AE21" i="5"/>
  <c r="AU21" i="5" s="1"/>
  <c r="AV21" i="5" s="1"/>
  <c r="AW21" i="5" s="1"/>
  <c r="AX21" i="5" s="1"/>
  <c r="G21" i="5" s="1"/>
  <c r="AE43" i="5"/>
  <c r="AU43" i="5" s="1"/>
  <c r="AV43" i="5" s="1"/>
  <c r="AW43" i="5" s="1"/>
  <c r="AX43" i="5" s="1"/>
  <c r="G43" i="5" s="1"/>
  <c r="AE78" i="5"/>
  <c r="AU78" i="5" s="1"/>
  <c r="AV78" i="5" s="1"/>
  <c r="AW78" i="5" s="1"/>
  <c r="AX78" i="5" s="1"/>
  <c r="G78" i="5" s="1"/>
  <c r="AE140" i="5"/>
  <c r="AU140" i="5" s="1"/>
  <c r="AV140" i="5" s="1"/>
  <c r="AW140" i="5" s="1"/>
  <c r="AX140" i="5" s="1"/>
  <c r="G140" i="5" s="1"/>
  <c r="AE67" i="5"/>
  <c r="AU67" i="5" s="1"/>
  <c r="AV67" i="5" s="1"/>
  <c r="AW67" i="5" s="1"/>
  <c r="AX67" i="5" s="1"/>
  <c r="G67" i="5" s="1"/>
  <c r="AE145" i="5"/>
  <c r="AU145" i="5" s="1"/>
  <c r="AV145" i="5" s="1"/>
  <c r="AW145" i="5" s="1"/>
  <c r="AX145" i="5" s="1"/>
  <c r="G145" i="5" s="1"/>
  <c r="AE200" i="5"/>
  <c r="AU200" i="5" s="1"/>
  <c r="AV200" i="5" s="1"/>
  <c r="AW200" i="5" s="1"/>
  <c r="AX200" i="5" s="1"/>
  <c r="G200" i="5" s="1"/>
  <c r="AE122" i="5"/>
  <c r="AU122" i="5" s="1"/>
  <c r="AV122" i="5" s="1"/>
  <c r="AW122" i="5" s="1"/>
  <c r="AX122" i="5" s="1"/>
  <c r="G122" i="5" s="1"/>
  <c r="AE133" i="5"/>
  <c r="AU133" i="5" s="1"/>
  <c r="AV133" i="5" s="1"/>
  <c r="AW133" i="5" s="1"/>
  <c r="AX133" i="5" s="1"/>
  <c r="G133" i="5" s="1"/>
  <c r="AE160" i="5"/>
  <c r="AU160" i="5" s="1"/>
  <c r="AV160" i="5" s="1"/>
  <c r="AW160" i="5" s="1"/>
  <c r="AX160" i="5" s="1"/>
  <c r="G160" i="5" s="1"/>
  <c r="AE175" i="5"/>
  <c r="AU175" i="5" s="1"/>
  <c r="AV175" i="5" s="1"/>
  <c r="AW175" i="5" s="1"/>
  <c r="AX175" i="5" s="1"/>
  <c r="G175" i="5" s="1"/>
  <c r="AE205" i="5"/>
  <c r="AU205" i="5" s="1"/>
  <c r="AV205" i="5" s="1"/>
  <c r="AW205" i="5" s="1"/>
  <c r="AX205" i="5" s="1"/>
  <c r="G205" i="5" s="1"/>
  <c r="AE113" i="5"/>
  <c r="AU113" i="5" s="1"/>
  <c r="AV113" i="5" s="1"/>
  <c r="AW113" i="5" s="1"/>
  <c r="AX113" i="5" s="1"/>
  <c r="G113" i="5" s="1"/>
  <c r="AE180" i="5"/>
  <c r="AU180" i="5" s="1"/>
  <c r="AV180" i="5" s="1"/>
  <c r="AW180" i="5" s="1"/>
  <c r="AX180" i="5" s="1"/>
  <c r="G180" i="5" s="1"/>
  <c r="AE42" i="5"/>
  <c r="AU42" i="5" s="1"/>
  <c r="AV42" i="5" s="1"/>
  <c r="AW42" i="5" s="1"/>
  <c r="AX42" i="5" s="1"/>
  <c r="G42" i="5" s="1"/>
  <c r="AE117" i="5"/>
  <c r="AU117" i="5" s="1"/>
  <c r="AV117" i="5" s="1"/>
  <c r="AW117" i="5" s="1"/>
  <c r="AX117" i="5" s="1"/>
  <c r="G117" i="5" s="1"/>
  <c r="AE87" i="5"/>
  <c r="AU87" i="5" s="1"/>
  <c r="AV87" i="5" s="1"/>
  <c r="AW87" i="5" s="1"/>
  <c r="AX87" i="5" s="1"/>
  <c r="G87" i="5" s="1"/>
  <c r="AE91" i="5"/>
  <c r="AU91" i="5" s="1"/>
  <c r="AV91" i="5" s="1"/>
  <c r="AW91" i="5" s="1"/>
  <c r="AX91" i="5" s="1"/>
  <c r="G91" i="5" s="1"/>
  <c r="AE135" i="5"/>
  <c r="AU135" i="5" s="1"/>
  <c r="AV135" i="5" s="1"/>
  <c r="AW135" i="5" s="1"/>
  <c r="AX135" i="5" s="1"/>
  <c r="G135" i="5" s="1"/>
  <c r="AE177" i="5"/>
  <c r="AU177" i="5" s="1"/>
  <c r="AV177" i="5" s="1"/>
  <c r="AW177" i="5" s="1"/>
  <c r="AX177" i="5" s="1"/>
  <c r="G177" i="5" s="1"/>
  <c r="AE202" i="5"/>
  <c r="AU202" i="5" s="1"/>
  <c r="AV202" i="5" s="1"/>
  <c r="AW202" i="5" s="1"/>
  <c r="AX202" i="5" s="1"/>
  <c r="G202" i="5" s="1"/>
  <c r="AE83" i="5"/>
  <c r="AU83" i="5" s="1"/>
  <c r="AV83" i="5" s="1"/>
  <c r="AW83" i="5" s="1"/>
  <c r="AX83" i="5" s="1"/>
  <c r="G83" i="5" s="1"/>
  <c r="AE7" i="5"/>
  <c r="AU7" i="5" s="1"/>
  <c r="AV7" i="5" s="1"/>
  <c r="AW7" i="5" s="1"/>
  <c r="AX7" i="5" s="1"/>
  <c r="G7" i="5" s="1"/>
  <c r="AE50" i="5"/>
  <c r="AU50" i="5" s="1"/>
  <c r="AW50" i="5" s="1"/>
  <c r="AX50" i="5" s="1"/>
  <c r="G50" i="5" s="1"/>
  <c r="AE137" i="5"/>
  <c r="AU137" i="5" s="1"/>
  <c r="AV137" i="5" s="1"/>
  <c r="AW137" i="5" s="1"/>
  <c r="AX137" i="5" s="1"/>
  <c r="G137" i="5" s="1"/>
  <c r="AE204" i="5"/>
  <c r="AU204" i="5" s="1"/>
  <c r="AV204" i="5" s="1"/>
  <c r="AW204" i="5" s="1"/>
  <c r="AX204" i="5" s="1"/>
  <c r="G204" i="5" s="1"/>
  <c r="AE206" i="5"/>
  <c r="AU206" i="5" s="1"/>
  <c r="AV206" i="5" s="1"/>
  <c r="AW206" i="5" s="1"/>
  <c r="AX206" i="5" s="1"/>
  <c r="G206" i="5" s="1"/>
  <c r="AE136" i="5"/>
  <c r="AU136" i="5" s="1"/>
  <c r="AV136" i="5" s="1"/>
  <c r="AW136" i="5" s="1"/>
  <c r="AX136" i="5" s="1"/>
  <c r="G136" i="5" s="1"/>
  <c r="AE195" i="5"/>
  <c r="AU195" i="5" s="1"/>
  <c r="AV195" i="5" s="1"/>
  <c r="AW195" i="5" s="1"/>
  <c r="AX195" i="5" s="1"/>
  <c r="G195" i="5" s="1"/>
  <c r="AE27" i="5"/>
  <c r="AU27" i="5" s="1"/>
  <c r="AV27" i="5" s="1"/>
  <c r="AW27" i="5" s="1"/>
  <c r="AX27" i="5" s="1"/>
  <c r="G27" i="5" s="1"/>
  <c r="AE46" i="5"/>
  <c r="AU46" i="5" s="1"/>
  <c r="AV46" i="5" s="1"/>
  <c r="AW46" i="5" s="1"/>
  <c r="AX46" i="5" s="1"/>
  <c r="G46" i="5" s="1"/>
  <c r="AE74" i="5"/>
  <c r="AU74" i="5" s="1"/>
  <c r="AV74" i="5" s="1"/>
  <c r="AW74" i="5" s="1"/>
  <c r="AX74" i="5" s="1"/>
  <c r="G74" i="5" s="1"/>
  <c r="AE157" i="5"/>
  <c r="AU157" i="5" s="1"/>
  <c r="AV157" i="5" s="1"/>
  <c r="AW157" i="5" s="1"/>
  <c r="AX157" i="5" s="1"/>
  <c r="G157" i="5" s="1"/>
  <c r="AE181" i="5"/>
  <c r="AU181" i="5" s="1"/>
  <c r="AV181" i="5" s="1"/>
  <c r="AW181" i="5" s="1"/>
  <c r="AX181" i="5" s="1"/>
  <c r="G181" i="5" s="1"/>
  <c r="AE187" i="5"/>
  <c r="AU187" i="5" s="1"/>
  <c r="AV187" i="5" s="1"/>
  <c r="AW187" i="5" s="1"/>
  <c r="AX187" i="5" s="1"/>
  <c r="G187" i="5" s="1"/>
  <c r="AE198" i="5"/>
  <c r="AU198" i="5" s="1"/>
  <c r="AV198" i="5" s="1"/>
  <c r="AW198" i="5" s="1"/>
  <c r="AX198" i="5" s="1"/>
  <c r="G198" i="5" s="1"/>
  <c r="AE86" i="5"/>
  <c r="AU86" i="5" s="1"/>
  <c r="AV86" i="5" s="1"/>
  <c r="AW86" i="5" s="1"/>
  <c r="AX86" i="5" s="1"/>
  <c r="G86" i="5" s="1"/>
  <c r="AE150" i="5"/>
  <c r="AU150" i="5" s="1"/>
  <c r="AV150" i="5" s="1"/>
  <c r="AW150" i="5" s="1"/>
  <c r="AX150" i="5" s="1"/>
  <c r="G150" i="5" s="1"/>
  <c r="AE37" i="5"/>
  <c r="AU37" i="5" s="1"/>
  <c r="AV37" i="5" s="1"/>
  <c r="AW37" i="5" s="1"/>
  <c r="AX37" i="5" s="1"/>
  <c r="G37" i="5" s="1"/>
  <c r="AE49" i="5"/>
  <c r="AU49" i="5" s="1"/>
  <c r="AV49" i="5" s="1"/>
  <c r="AW49" i="5" s="1"/>
  <c r="AX49" i="5" s="1"/>
  <c r="G49" i="5" s="1"/>
  <c r="AE28" i="5"/>
  <c r="AU28" i="5" s="1"/>
  <c r="AV28" i="5" s="1"/>
  <c r="AW28" i="5" s="1"/>
  <c r="AX28" i="5" s="1"/>
  <c r="G28" i="5" s="1"/>
  <c r="AE144" i="5"/>
  <c r="AU144" i="5" s="1"/>
  <c r="AV144" i="5" s="1"/>
  <c r="AW144" i="5" s="1"/>
  <c r="AX144" i="5" s="1"/>
  <c r="G144" i="5" s="1"/>
  <c r="AE182" i="5"/>
  <c r="AU182" i="5" s="1"/>
  <c r="AV182" i="5" s="1"/>
  <c r="AW182" i="5" s="1"/>
  <c r="AX182" i="5" s="1"/>
  <c r="G182" i="5" s="1"/>
  <c r="AE26" i="5"/>
  <c r="AU26" i="5" s="1"/>
  <c r="AV26" i="5" s="1"/>
  <c r="AW26" i="5" s="1"/>
  <c r="AX26" i="5" s="1"/>
  <c r="G26" i="5" s="1"/>
  <c r="AE189" i="5"/>
  <c r="AU189" i="5" s="1"/>
  <c r="AV189" i="5" s="1"/>
  <c r="AW189" i="5" s="1"/>
  <c r="AX189" i="5" s="1"/>
  <c r="G189" i="5" s="1"/>
  <c r="AE170" i="5"/>
  <c r="AU170" i="5" s="1"/>
  <c r="AV170" i="5" s="1"/>
  <c r="AW170" i="5" s="1"/>
  <c r="AX170" i="5" s="1"/>
  <c r="G170" i="5" s="1"/>
  <c r="AE40" i="5"/>
  <c r="AU40" i="5" s="1"/>
  <c r="AV40" i="5" s="1"/>
  <c r="AW40" i="5" s="1"/>
  <c r="AX40" i="5" s="1"/>
  <c r="G40" i="5" s="1"/>
  <c r="AE156" i="5"/>
  <c r="AU156" i="5" s="1"/>
  <c r="AV156" i="5" s="1"/>
  <c r="AW156" i="5" s="1"/>
  <c r="AX156" i="5" s="1"/>
  <c r="G156" i="5" s="1"/>
  <c r="AE57" i="5"/>
  <c r="AU57" i="5" s="1"/>
  <c r="AV57" i="5" s="1"/>
  <c r="AW57" i="5" s="1"/>
  <c r="AX57" i="5" s="1"/>
  <c r="G57" i="5" s="1"/>
  <c r="AE188" i="5"/>
  <c r="AU188" i="5" s="1"/>
  <c r="AV188" i="5" s="1"/>
  <c r="AW188" i="5" s="1"/>
  <c r="AX188" i="5" s="1"/>
  <c r="G188" i="5" s="1"/>
  <c r="AE192" i="5"/>
  <c r="AU192" i="5" s="1"/>
  <c r="AV192" i="5" s="1"/>
  <c r="AW192" i="5" s="1"/>
  <c r="AX192" i="5" s="1"/>
  <c r="G192" i="5" s="1"/>
  <c r="AE201" i="5"/>
  <c r="AU201" i="5" s="1"/>
  <c r="AV201" i="5" s="1"/>
  <c r="AW201" i="5" s="1"/>
  <c r="AX201" i="5" s="1"/>
  <c r="G201" i="5" s="1"/>
  <c r="AE209" i="5"/>
  <c r="AU209" i="5" s="1"/>
  <c r="AV209" i="5" s="1"/>
  <c r="AW209" i="5" s="1"/>
  <c r="AX209" i="5" s="1"/>
  <c r="G209" i="5" s="1"/>
  <c r="AE99" i="5"/>
  <c r="AU99" i="5" s="1"/>
  <c r="AV99" i="5" s="1"/>
  <c r="AW99" i="5" s="1"/>
  <c r="AX99" i="5" s="1"/>
  <c r="G99" i="5" s="1"/>
  <c r="AE197" i="5"/>
  <c r="AU197" i="5" s="1"/>
  <c r="AV197" i="5" s="1"/>
  <c r="AW197" i="5" s="1"/>
  <c r="AX197" i="5" s="1"/>
  <c r="G197" i="5" s="1"/>
  <c r="AE52" i="5"/>
  <c r="AU52" i="5" s="1"/>
  <c r="AV52" i="5" s="1"/>
  <c r="AW52" i="5" s="1"/>
  <c r="AX52" i="5" s="1"/>
  <c r="G52" i="5" s="1"/>
  <c r="AE163" i="5"/>
  <c r="AU163" i="5" s="1"/>
  <c r="AV163" i="5" s="1"/>
  <c r="AW163" i="5" s="1"/>
  <c r="AX163" i="5" s="1"/>
  <c r="G163" i="5" s="1"/>
  <c r="AE120" i="5"/>
  <c r="AU120" i="5" s="1"/>
  <c r="AV120" i="5" s="1"/>
  <c r="AW120" i="5" s="1"/>
  <c r="AX120" i="5" s="1"/>
  <c r="G120" i="5" s="1"/>
  <c r="AE173" i="5"/>
  <c r="AU173" i="5" s="1"/>
  <c r="AV173" i="5" s="1"/>
  <c r="AW173" i="5" s="1"/>
  <c r="AX173" i="5" s="1"/>
  <c r="G173" i="5" s="1"/>
  <c r="AE179" i="5"/>
  <c r="AU179" i="5" s="1"/>
  <c r="AV179" i="5" s="1"/>
  <c r="AW179" i="5" s="1"/>
  <c r="AX179" i="5" s="1"/>
  <c r="G179" i="5" s="1"/>
  <c r="AE143" i="5"/>
  <c r="AU143" i="5" s="1"/>
  <c r="AV143" i="5" s="1"/>
  <c r="AW143" i="5" s="1"/>
  <c r="AX143" i="5" s="1"/>
  <c r="G143" i="5" s="1"/>
  <c r="AE76" i="5"/>
  <c r="AU76" i="5" s="1"/>
  <c r="AV76" i="5" s="1"/>
  <c r="AW76" i="5" s="1"/>
  <c r="AX76" i="5" s="1"/>
  <c r="G76" i="5" s="1"/>
  <c r="AE191" i="5"/>
  <c r="AU191" i="5" s="1"/>
  <c r="AV191" i="5" s="1"/>
  <c r="AW191" i="5" s="1"/>
  <c r="AX191" i="5" s="1"/>
  <c r="G191" i="5" s="1"/>
  <c r="AE101" i="5"/>
  <c r="AU101" i="5" s="1"/>
  <c r="AV101" i="5" s="1"/>
  <c r="AW101" i="5" s="1"/>
  <c r="AX101" i="5" s="1"/>
  <c r="G101" i="5" s="1"/>
  <c r="AE158" i="5"/>
  <c r="AU158" i="5" s="1"/>
  <c r="AV158" i="5" s="1"/>
  <c r="AW158" i="5" s="1"/>
  <c r="AX158" i="5" s="1"/>
  <c r="G158" i="5" s="1"/>
  <c r="AE14" i="5"/>
  <c r="AU14" i="5" s="1"/>
  <c r="AV14" i="5" s="1"/>
  <c r="AW14" i="5" s="1"/>
  <c r="AX14" i="5" s="1"/>
  <c r="G14" i="5" s="1"/>
  <c r="AE111" i="5"/>
  <c r="AU111" i="5" s="1"/>
  <c r="AV111" i="5" s="1"/>
  <c r="AW111" i="5" s="1"/>
  <c r="AX111" i="5" s="1"/>
  <c r="G111" i="5" s="1"/>
  <c r="AE105" i="5"/>
  <c r="AU105" i="5" s="1"/>
  <c r="AV105" i="5" s="1"/>
  <c r="AW105" i="5" s="1"/>
  <c r="AX105" i="5" s="1"/>
  <c r="G105" i="5" s="1"/>
  <c r="AE131" i="5"/>
  <c r="AU131" i="5" s="1"/>
  <c r="AV131" i="5" s="1"/>
  <c r="AW131" i="5" s="1"/>
  <c r="AX131" i="5" s="1"/>
  <c r="G131" i="5" s="1"/>
  <c r="AE203" i="5"/>
  <c r="AU203" i="5" s="1"/>
  <c r="AV203" i="5" s="1"/>
  <c r="AW203" i="5" s="1"/>
  <c r="AX203" i="5" s="1"/>
  <c r="G203" i="5" s="1"/>
  <c r="AE102" i="5"/>
  <c r="AU102" i="5" s="1"/>
  <c r="AV102" i="5" s="1"/>
  <c r="AW102" i="5" s="1"/>
  <c r="AX102" i="5" s="1"/>
  <c r="G102" i="5" s="1"/>
  <c r="AE183" i="5"/>
  <c r="AU183" i="5" s="1"/>
  <c r="AV183" i="5" s="1"/>
  <c r="AW183" i="5" s="1"/>
  <c r="AX183" i="5" s="1"/>
  <c r="G183" i="5" s="1"/>
  <c r="AE31" i="5"/>
  <c r="AU31" i="5" s="1"/>
  <c r="AV31" i="5" s="1"/>
  <c r="AW31" i="5" s="1"/>
  <c r="AX31" i="5" s="1"/>
  <c r="G31" i="5" s="1"/>
  <c r="AE47" i="5"/>
  <c r="AU47" i="5" s="1"/>
  <c r="AV47" i="5" s="1"/>
  <c r="AW47" i="5" s="1"/>
  <c r="AX47" i="5" s="1"/>
  <c r="G47" i="5" s="1"/>
  <c r="AE186" i="5"/>
  <c r="AU186" i="5" s="1"/>
  <c r="AV186" i="5" s="1"/>
  <c r="AW186" i="5" s="1"/>
  <c r="AX186" i="5" s="1"/>
  <c r="G186" i="5" s="1"/>
  <c r="AE199" i="5"/>
  <c r="AU199" i="5" s="1"/>
  <c r="AV199" i="5" s="1"/>
  <c r="AW199" i="5" s="1"/>
  <c r="AE164" i="5"/>
  <c r="AU164" i="5" s="1"/>
  <c r="AV164" i="5" s="1"/>
  <c r="AW164" i="5" s="1"/>
  <c r="AX164" i="5" s="1"/>
  <c r="G164" i="5" s="1"/>
  <c r="AE69" i="5"/>
  <c r="AU69" i="5" s="1"/>
  <c r="AV69" i="5" s="1"/>
  <c r="AW69" i="5" s="1"/>
  <c r="AX69" i="5" s="1"/>
  <c r="G69" i="5" s="1"/>
  <c r="AE9" i="5"/>
  <c r="AU9" i="5" s="1"/>
  <c r="AV9" i="5" s="1"/>
  <c r="AW9" i="5" s="1"/>
  <c r="AX9" i="5" s="1"/>
  <c r="G9" i="5" s="1"/>
  <c r="AE59" i="5"/>
  <c r="AU59" i="5" s="1"/>
  <c r="AV59" i="5" s="1"/>
  <c r="AW59" i="5" s="1"/>
  <c r="AX59" i="5" s="1"/>
  <c r="G59" i="5" s="1"/>
  <c r="AE171" i="5"/>
  <c r="AU171" i="5" s="1"/>
  <c r="AV171" i="5" s="1"/>
  <c r="AW171" i="5" s="1"/>
  <c r="AX171" i="5" s="1"/>
  <c r="G171" i="5" s="1"/>
  <c r="AE130" i="5"/>
  <c r="AU130" i="5" s="1"/>
  <c r="AV130" i="5" s="1"/>
  <c r="AW130" i="5" s="1"/>
  <c r="AX130" i="5" s="1"/>
  <c r="G130" i="5" s="1"/>
  <c r="AE61" i="5"/>
  <c r="AU61" i="5" s="1"/>
  <c r="AV61" i="5" s="1"/>
  <c r="AW61" i="5" s="1"/>
  <c r="AE129" i="5"/>
  <c r="AU129" i="5" s="1"/>
  <c r="AV129" i="5" s="1"/>
  <c r="AW129" i="5" s="1"/>
  <c r="AX129" i="5" s="1"/>
  <c r="G129" i="5" s="1"/>
  <c r="AE11" i="5"/>
  <c r="AU11" i="5" s="1"/>
  <c r="AV11" i="5" s="1"/>
  <c r="AW11" i="5" s="1"/>
  <c r="AX11" i="5" s="1"/>
  <c r="G11" i="5" s="1"/>
  <c r="AE16" i="5"/>
  <c r="AU16" i="5" s="1"/>
  <c r="AV16" i="5" s="1"/>
  <c r="AW16" i="5" s="1"/>
  <c r="AX16" i="5" s="1"/>
  <c r="G16" i="5" s="1"/>
  <c r="AE81" i="5"/>
  <c r="AU81" i="5" s="1"/>
  <c r="AV81" i="5" s="1"/>
  <c r="AW81" i="5" s="1"/>
  <c r="AX81" i="5" s="1"/>
  <c r="G81" i="5" s="1"/>
  <c r="AE108" i="5"/>
  <c r="AU108" i="5" s="1"/>
  <c r="AV108" i="5" s="1"/>
  <c r="AW108" i="5" s="1"/>
  <c r="AX108" i="5" s="1"/>
  <c r="G108" i="5" s="1"/>
  <c r="AE56" i="5"/>
  <c r="AU56" i="5" s="1"/>
  <c r="AV56" i="5" s="1"/>
  <c r="AW56" i="5" s="1"/>
  <c r="AX56" i="5" s="1"/>
  <c r="G56" i="5" s="1"/>
  <c r="AE70" i="5"/>
  <c r="AU70" i="5" s="1"/>
  <c r="AV70" i="5" s="1"/>
  <c r="AW70" i="5" s="1"/>
  <c r="AE24" i="5"/>
  <c r="AU24" i="5" s="1"/>
  <c r="AV24" i="5" s="1"/>
  <c r="AW24" i="5" s="1"/>
  <c r="AX24" i="5" s="1"/>
  <c r="G24" i="5" s="1"/>
  <c r="AE90" i="5"/>
  <c r="AU90" i="5" s="1"/>
  <c r="AV90" i="5" s="1"/>
  <c r="AW90" i="5" s="1"/>
  <c r="AX90" i="5" s="1"/>
  <c r="G90" i="5" s="1"/>
  <c r="AE18" i="5"/>
  <c r="AU18" i="5" s="1"/>
  <c r="AV18" i="5" s="1"/>
  <c r="AW18" i="5" s="1"/>
  <c r="AX18" i="5" s="1"/>
  <c r="G18" i="5" s="1"/>
  <c r="AE33" i="5"/>
  <c r="AU33" i="5" s="1"/>
  <c r="AV33" i="5" s="1"/>
  <c r="AW33" i="5" s="1"/>
  <c r="AX33" i="5" s="1"/>
  <c r="G33" i="5" s="1"/>
  <c r="AE155" i="5"/>
  <c r="AU155" i="5" s="1"/>
  <c r="AV155" i="5" s="1"/>
  <c r="AW155" i="5" s="1"/>
  <c r="AX155" i="5" s="1"/>
  <c r="G155" i="5" s="1"/>
  <c r="AE35" i="5"/>
  <c r="AU35" i="5" s="1"/>
  <c r="AV35" i="5" s="1"/>
  <c r="AW35" i="5" s="1"/>
  <c r="AX35" i="5" s="1"/>
  <c r="G35" i="5" s="1"/>
  <c r="AE71" i="5"/>
  <c r="AU71" i="5" s="1"/>
  <c r="AV71" i="5" s="1"/>
  <c r="AW71" i="5" s="1"/>
  <c r="AX71" i="5" s="1"/>
  <c r="G71" i="5" s="1"/>
  <c r="AE23" i="5"/>
  <c r="AU23" i="5" s="1"/>
  <c r="AV23" i="5" s="1"/>
  <c r="AW23" i="5" s="1"/>
  <c r="AX23" i="5" s="1"/>
  <c r="G23" i="5" s="1"/>
  <c r="AE80" i="5"/>
  <c r="AU80" i="5" s="1"/>
  <c r="AV80" i="5" s="1"/>
  <c r="AW80" i="5" s="1"/>
  <c r="AX80" i="5" s="1"/>
  <c r="G80" i="5" s="1"/>
  <c r="AE194" i="5"/>
  <c r="AU194" i="5" s="1"/>
  <c r="AV194" i="5" s="1"/>
  <c r="AW194" i="5" s="1"/>
  <c r="AX194" i="5" s="1"/>
  <c r="G194" i="5" s="1"/>
  <c r="AE82" i="5"/>
  <c r="AU82" i="5" s="1"/>
  <c r="AV82" i="5" s="1"/>
  <c r="AW82" i="5" s="1"/>
  <c r="AX82" i="5" s="1"/>
  <c r="G82" i="5" s="1"/>
  <c r="AE44" i="5"/>
  <c r="AU44" i="5" s="1"/>
  <c r="AV44" i="5" s="1"/>
  <c r="AW44" i="5" s="1"/>
  <c r="AX44" i="5" s="1"/>
  <c r="G44" i="5" s="1"/>
  <c r="AE166" i="5"/>
  <c r="AU166" i="5" s="1"/>
  <c r="AV166" i="5" s="1"/>
  <c r="AW166" i="5" s="1"/>
  <c r="AX166" i="5" s="1"/>
  <c r="G166" i="5" s="1"/>
  <c r="AE22" i="5"/>
  <c r="AU22" i="5" s="1"/>
  <c r="AV22" i="5" s="1"/>
  <c r="AW22" i="5" s="1"/>
  <c r="AX22" i="5" s="1"/>
  <c r="G22" i="5" s="1"/>
  <c r="AE62" i="5"/>
  <c r="AU62" i="5" s="1"/>
  <c r="AV62" i="5" s="1"/>
  <c r="AW62" i="5" s="1"/>
  <c r="AX62" i="5" s="1"/>
  <c r="G62" i="5" s="1"/>
  <c r="AE30" i="5"/>
  <c r="AU30" i="5" s="1"/>
  <c r="AV30" i="5" s="1"/>
  <c r="AW30" i="5" s="1"/>
  <c r="AX30" i="5" s="1"/>
  <c r="G30" i="5" s="1"/>
  <c r="AE153" i="5"/>
  <c r="AU153" i="5" s="1"/>
  <c r="AV153" i="5" s="1"/>
  <c r="AW153" i="5" s="1"/>
  <c r="AE196" i="5"/>
  <c r="AU196" i="5" s="1"/>
  <c r="AV196" i="5" s="1"/>
  <c r="AW196" i="5" s="1"/>
  <c r="AX196" i="5" s="1"/>
  <c r="G196" i="5" s="1"/>
  <c r="AE141" i="5"/>
  <c r="AU141" i="5" s="1"/>
  <c r="AV141" i="5" s="1"/>
  <c r="AW141" i="5" s="1"/>
  <c r="AX141" i="5" s="1"/>
  <c r="G141" i="5" s="1"/>
  <c r="AE165" i="5"/>
  <c r="AU165" i="5" s="1"/>
  <c r="AV165" i="5" s="1"/>
  <c r="AW165" i="5" s="1"/>
  <c r="AX165" i="5" s="1"/>
  <c r="G165" i="5" s="1"/>
  <c r="AE138" i="5"/>
  <c r="AU138" i="5" s="1"/>
  <c r="AV138" i="5" s="1"/>
  <c r="AW138" i="5" s="1"/>
  <c r="AX138" i="5" s="1"/>
  <c r="G138" i="5" s="1"/>
  <c r="AE53" i="5"/>
  <c r="AU53" i="5" s="1"/>
  <c r="AV53" i="5" s="1"/>
  <c r="AW53" i="5" s="1"/>
  <c r="AX53" i="5" s="1"/>
  <c r="G53" i="5" s="1"/>
  <c r="AE124" i="5"/>
  <c r="AU124" i="5" s="1"/>
  <c r="AV124" i="5" s="1"/>
  <c r="AW124" i="5" s="1"/>
  <c r="AX124" i="5" s="1"/>
  <c r="G124" i="5" s="1"/>
  <c r="AE114" i="5"/>
  <c r="AU114" i="5" s="1"/>
  <c r="AV114" i="5" s="1"/>
  <c r="AW114" i="5" s="1"/>
  <c r="AX114" i="5" s="1"/>
  <c r="G114" i="5" s="1"/>
  <c r="AE73" i="5"/>
  <c r="AU73" i="5" s="1"/>
  <c r="AV73" i="5" s="1"/>
  <c r="AW73" i="5" s="1"/>
  <c r="AX73" i="5" s="1"/>
  <c r="G73" i="5" s="1"/>
  <c r="AE190" i="5"/>
  <c r="AU190" i="5" s="1"/>
  <c r="AV190" i="5" s="1"/>
  <c r="AW190" i="5" s="1"/>
  <c r="AX190" i="5" s="1"/>
  <c r="G190" i="5" s="1"/>
  <c r="AE110" i="5"/>
  <c r="AU110" i="5" s="1"/>
  <c r="AV110" i="5" s="1"/>
  <c r="AW110" i="5" s="1"/>
  <c r="AX110" i="5" s="1"/>
  <c r="G110" i="5" s="1"/>
  <c r="AE172" i="5"/>
  <c r="AU172" i="5" s="1"/>
  <c r="AV172" i="5" s="1"/>
  <c r="AW172" i="5" s="1"/>
  <c r="AX172" i="5" s="1"/>
  <c r="G172" i="5" s="1"/>
  <c r="AE38" i="5"/>
  <c r="AU38" i="5" s="1"/>
  <c r="AV38" i="5" s="1"/>
  <c r="AW38" i="5" s="1"/>
  <c r="AX38" i="5" s="1"/>
  <c r="G38" i="5" s="1"/>
  <c r="AE94" i="5"/>
  <c r="AU94" i="5" s="1"/>
  <c r="AV94" i="5" s="1"/>
  <c r="AW94" i="5" s="1"/>
  <c r="AX94" i="5" s="1"/>
  <c r="G94" i="5" s="1"/>
  <c r="AE79" i="5"/>
  <c r="AU79" i="5" s="1"/>
  <c r="AV79" i="5" s="1"/>
  <c r="AW79" i="5" s="1"/>
  <c r="AX79" i="5" s="1"/>
  <c r="G79" i="5" s="1"/>
  <c r="AE55" i="5"/>
  <c r="AU55" i="5" s="1"/>
  <c r="AV55" i="5" s="1"/>
  <c r="AW55" i="5" s="1"/>
  <c r="AX55" i="5" s="1"/>
  <c r="G55" i="5" s="1"/>
  <c r="AE54" i="5"/>
  <c r="AU54" i="5" s="1"/>
  <c r="AV54" i="5" s="1"/>
  <c r="AW54" i="5" s="1"/>
  <c r="AX54" i="5" s="1"/>
  <c r="G54" i="5" s="1"/>
  <c r="AE148" i="5"/>
  <c r="AU148" i="5" s="1"/>
  <c r="AV148" i="5" s="1"/>
  <c r="AW148" i="5" s="1"/>
  <c r="AX148" i="5" s="1"/>
  <c r="G148" i="5" s="1"/>
  <c r="AE134" i="5"/>
  <c r="AU134" i="5" s="1"/>
  <c r="AV134" i="5" s="1"/>
  <c r="AW134" i="5" s="1"/>
  <c r="AX134" i="5" s="1"/>
  <c r="G134" i="5" s="1"/>
  <c r="AE207" i="5"/>
  <c r="AU207" i="5" s="1"/>
  <c r="AV207" i="5" s="1"/>
  <c r="AW207" i="5" s="1"/>
  <c r="AX207" i="5" s="1"/>
  <c r="G207" i="5" s="1"/>
  <c r="AE84" i="5"/>
  <c r="AU84" i="5" s="1"/>
  <c r="AV84" i="5" s="1"/>
  <c r="AW84" i="5" s="1"/>
  <c r="AX84" i="5" s="1"/>
  <c r="G84" i="5" s="1"/>
  <c r="AE167" i="5"/>
  <c r="AU167" i="5" s="1"/>
  <c r="AV167" i="5" s="1"/>
  <c r="AW167" i="5" s="1"/>
  <c r="AX167" i="5" s="1"/>
  <c r="G167" i="5" s="1"/>
  <c r="AE96" i="5"/>
  <c r="AU96" i="5" s="1"/>
  <c r="AV96" i="5" s="1"/>
  <c r="AW96" i="5" s="1"/>
  <c r="AX96" i="5" s="1"/>
  <c r="G96" i="5" s="1"/>
  <c r="AE128" i="5"/>
  <c r="AU128" i="5" s="1"/>
  <c r="AV128" i="5" s="1"/>
  <c r="AW128" i="5" s="1"/>
  <c r="AX128" i="5" s="1"/>
  <c r="G128" i="5" s="1"/>
  <c r="AE142" i="5"/>
  <c r="AU142" i="5" s="1"/>
  <c r="AV142" i="5" s="1"/>
  <c r="AW142" i="5" s="1"/>
  <c r="AX142" i="5" s="1"/>
  <c r="G142" i="5" s="1"/>
  <c r="AE32" i="5"/>
  <c r="AU32" i="5" s="1"/>
  <c r="AV32" i="5" s="1"/>
  <c r="AW32" i="5" s="1"/>
  <c r="AX32" i="5" s="1"/>
  <c r="G32" i="5" s="1"/>
  <c r="AE149" i="5"/>
  <c r="AU149" i="5" s="1"/>
  <c r="AV149" i="5" s="1"/>
  <c r="AW149" i="5" s="1"/>
  <c r="AX149" i="5" s="1"/>
  <c r="G149" i="5" s="1"/>
  <c r="AE119" i="5"/>
  <c r="AU119" i="5" s="1"/>
  <c r="AV119" i="5" s="1"/>
  <c r="AW119" i="5" s="1"/>
  <c r="AX119" i="5" s="1"/>
  <c r="G119" i="5" s="1"/>
  <c r="AE39" i="5"/>
  <c r="AU39" i="5" s="1"/>
  <c r="AV39" i="5" s="1"/>
  <c r="AW39" i="5" s="1"/>
  <c r="AX39" i="5" s="1"/>
  <c r="G39" i="5" s="1"/>
  <c r="AE147" i="5"/>
  <c r="AU147" i="5" s="1"/>
  <c r="AV147" i="5" s="1"/>
  <c r="AW147" i="5" s="1"/>
  <c r="AX147" i="5" s="1"/>
  <c r="G147" i="5" s="1"/>
  <c r="AE64" i="5"/>
  <c r="AU64" i="5" s="1"/>
  <c r="AV64" i="5" s="1"/>
  <c r="AW64" i="5" s="1"/>
  <c r="AX64" i="5" s="1"/>
  <c r="G64" i="5" s="1"/>
  <c r="AE20" i="5"/>
  <c r="AU20" i="5" s="1"/>
  <c r="AV20" i="5" s="1"/>
  <c r="AW20" i="5" s="1"/>
  <c r="AX20" i="5" s="1"/>
  <c r="G20" i="5" s="1"/>
  <c r="AE152" i="5"/>
  <c r="AU152" i="5" s="1"/>
  <c r="AV152" i="5" s="1"/>
  <c r="AW152" i="5" s="1"/>
  <c r="AX152" i="5" s="1"/>
  <c r="G152" i="5" s="1"/>
  <c r="AE185" i="5"/>
  <c r="AU185" i="5" s="1"/>
  <c r="AV185" i="5" s="1"/>
  <c r="AW185" i="5" s="1"/>
  <c r="AX185" i="5" s="1"/>
  <c r="G185" i="5" s="1"/>
  <c r="AE115" i="5"/>
  <c r="AU115" i="5" s="1"/>
  <c r="AV115" i="5" s="1"/>
  <c r="AW115" i="5" s="1"/>
  <c r="AX115" i="5" s="1"/>
  <c r="G115" i="5" s="1"/>
  <c r="AE146" i="5"/>
  <c r="AU146" i="5" s="1"/>
  <c r="AV146" i="5" s="1"/>
  <c r="AW146" i="5" s="1"/>
  <c r="AX146" i="5" s="1"/>
  <c r="G146" i="5" s="1"/>
  <c r="AE45" i="5"/>
  <c r="AU45" i="5" s="1"/>
  <c r="AV45" i="5" s="1"/>
  <c r="AW45" i="5" s="1"/>
  <c r="AX45" i="5" s="1"/>
  <c r="G45" i="5" s="1"/>
  <c r="AE176" i="5"/>
  <c r="AU176" i="5" s="1"/>
  <c r="AV176" i="5" s="1"/>
  <c r="AW176" i="5" s="1"/>
  <c r="AX176" i="5" s="1"/>
  <c r="G176" i="5" s="1"/>
  <c r="AE88" i="5"/>
  <c r="AU88" i="5" s="1"/>
  <c r="AV88" i="5" s="1"/>
  <c r="AW88" i="5" s="1"/>
  <c r="AX88" i="5" s="1"/>
  <c r="G88" i="5" s="1"/>
  <c r="AE63" i="5"/>
  <c r="AU63" i="5" s="1"/>
  <c r="AV63" i="5" s="1"/>
  <c r="AW63" i="5" s="1"/>
  <c r="AX63" i="5" s="1"/>
  <c r="G63" i="5" s="1"/>
  <c r="AE123" i="5"/>
  <c r="AU123" i="5" s="1"/>
  <c r="AV123" i="5" s="1"/>
  <c r="AW123" i="5" s="1"/>
  <c r="AX123" i="5" s="1"/>
  <c r="G123" i="5" s="1"/>
  <c r="AE17" i="5"/>
  <c r="AU17" i="5" s="1"/>
  <c r="AV17" i="5" s="1"/>
  <c r="AW17" i="5" s="1"/>
  <c r="AX17" i="5" s="1"/>
  <c r="G17" i="5" s="1"/>
  <c r="AE208" i="5"/>
  <c r="AU208" i="5" s="1"/>
  <c r="AV208" i="5" s="1"/>
  <c r="AW208" i="5" s="1"/>
  <c r="AX208" i="5" s="1"/>
  <c r="G208" i="5" s="1"/>
  <c r="AE112" i="5"/>
  <c r="AU112" i="5" s="1"/>
  <c r="AV112" i="5" s="1"/>
  <c r="AW112" i="5" s="1"/>
  <c r="AX112" i="5" s="1"/>
  <c r="G112" i="5" s="1"/>
  <c r="AE4" i="5"/>
  <c r="AU4" i="5" s="1"/>
  <c r="AV4" i="5" s="1"/>
  <c r="AW4" i="5" s="1"/>
  <c r="AX4" i="5" s="1"/>
  <c r="G4" i="5" s="1"/>
  <c r="AE193" i="5"/>
  <c r="AU193" i="5" s="1"/>
  <c r="AV193" i="5" s="1"/>
  <c r="AW193" i="5" s="1"/>
  <c r="AX193" i="5" s="1"/>
  <c r="G193" i="5" s="1"/>
  <c r="AE3" i="5"/>
  <c r="AE103" i="5"/>
  <c r="AU103" i="5" s="1"/>
  <c r="AV103" i="5" s="1"/>
  <c r="AW103" i="5" s="1"/>
  <c r="AX103" i="5" s="1"/>
  <c r="G103" i="5" s="1"/>
  <c r="AE8" i="5"/>
  <c r="AU8" i="5" s="1"/>
  <c r="AV8" i="5" s="1"/>
  <c r="AW8" i="5" s="1"/>
  <c r="AX8" i="5" s="1"/>
  <c r="G8" i="5" s="1"/>
  <c r="AE174" i="5"/>
  <c r="AU174" i="5" s="1"/>
  <c r="AV174" i="5" s="1"/>
  <c r="AW174" i="5" s="1"/>
  <c r="AX174" i="5" s="1"/>
  <c r="G174" i="5" s="1"/>
  <c r="AE25" i="5"/>
  <c r="AU25" i="5" s="1"/>
  <c r="AV25" i="5" s="1"/>
  <c r="AW25" i="5" s="1"/>
  <c r="AX25" i="5" s="1"/>
  <c r="G25" i="5" s="1"/>
  <c r="AE159" i="5"/>
  <c r="AU159" i="5" s="1"/>
  <c r="AV159" i="5" s="1"/>
  <c r="AW159" i="5" s="1"/>
  <c r="AX159" i="5" s="1"/>
  <c r="G159" i="5" s="1"/>
  <c r="AE89" i="5"/>
  <c r="AU89" i="5" s="1"/>
  <c r="AV89" i="5" s="1"/>
  <c r="AW89" i="5" s="1"/>
  <c r="AX89" i="5" s="1"/>
  <c r="AE72" i="5"/>
  <c r="AU72" i="5" s="1"/>
  <c r="AV72" i="5" s="1"/>
  <c r="AW72" i="5" s="1"/>
  <c r="AX72" i="5" s="1"/>
  <c r="G72" i="5" s="1"/>
  <c r="AE215" i="5"/>
  <c r="AE214" i="5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3" i="4"/>
  <c r="AE211" i="5" l="1"/>
  <c r="AU3" i="5"/>
  <c r="B18" i="4"/>
  <c r="D18" i="4"/>
  <c r="AV3" i="5" l="1"/>
  <c r="AU211" i="5"/>
  <c r="AG212" i="5"/>
  <c r="AJ212" i="5"/>
  <c r="AW3" i="5" l="1"/>
  <c r="AV211" i="5"/>
  <c r="AW211" i="5" l="1"/>
  <c r="AX3" i="5"/>
  <c r="C18" i="4"/>
  <c r="G3" i="5" l="1"/>
  <c r="G211" i="5" s="1"/>
  <c r="AX211" i="5"/>
  <c r="AC212" i="5" l="1"/>
  <c r="AD212" i="5"/>
  <c r="AS215" i="5" l="1"/>
  <c r="AH214" i="5"/>
  <c r="AH215" i="5"/>
  <c r="AK214" i="5"/>
  <c r="AK215" i="5"/>
  <c r="AU215" i="5" l="1"/>
  <c r="AV215" i="5" s="1"/>
  <c r="AW215" i="5" s="1"/>
  <c r="AU214" i="5"/>
  <c r="AV214" i="5" s="1"/>
  <c r="AW214" i="5" s="1"/>
  <c r="AK212" i="5"/>
  <c r="AH212" i="5"/>
  <c r="AE212" i="5"/>
  <c r="AX214" i="5" l="1"/>
  <c r="AX215" i="5"/>
  <c r="AZ214" i="5" l="1"/>
  <c r="AZ215" i="5"/>
  <c r="AZ212" i="5" l="1"/>
  <c r="E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tc={8278A49C-CA48-4B9E-A4C7-D3C3B4210717}</author>
    <author>tc={E5C9B70E-18FC-42FC-937A-C824459E0D39}</author>
    <author>tc={CE174F04-A485-44CC-8163-9169569FCF25}</author>
    <author>tc={F4DFF5CE-2424-4A8B-8783-A6B3822FD881}</author>
    <author>tc={2DC11E1B-77B5-4620-B54F-FD5753187C78}</author>
    <author>tc={82F38D83-DB84-4F26-A352-37D3C59BD08C}</author>
    <author>tc={18209A5D-C16B-4146-ACE7-A1AAAA1F050D}</author>
    <author>tc={FB96FCDE-9DDD-4EBA-9121-CF475B0DCA91}</author>
    <author>tc={1F59CEEE-6D2D-425E-BA91-6F1780E1D507}</author>
    <author>tc={48887F77-AFC0-4925-B94A-874E88EB414B}</author>
    <author>tc={3C0383C8-BBCD-4FD0-A882-F37EAE66A89F}</author>
    <author>tc={869EB097-C704-4C33-A8B2-7FC33113794C}</author>
    <author>tc={5670843A-AD67-416B-8D29-6E119209BC14}</author>
    <author>tc={D1D0344B-88CD-4F5F-9826-D75DE8AD4FC2}</author>
    <author>tc={571AF2BA-65BF-4283-A961-1B003EBB8213}</author>
  </authors>
  <commentList>
    <comment ref="AY2" authorId="0" shapeId="0" xr:uid="{8278A49C-CA48-4B9E-A4C7-D3C3B4210717}">
      <text>
        <t>[Threaded comment]
Your version of Excel allows you to read this threaded comment; however, any edits to it will get removed if the file is opened in a newer version of Excel. Learn more: https://go.microsoft.com/fwlink/?linkid=870924
Comment:
    =+'K:\Guided Pledge\2026\[Stipend cal for 2026.xlsx]2026 forecast'!$I$25</t>
      </text>
    </comment>
    <comment ref="C6" authorId="1" shapeId="0" xr:uid="{E5C9B70E-18FC-42FC-937A-C824459E0D39}">
      <text>
        <t>[Threaded comment]
Your version of Excel allows you to read this threaded comment; however, any edits to it will get removed if the file is opened in a newer version of Excel. Learn more: https://go.microsoft.com/fwlink/?linkid=870924
Comment:
    24 Actual Pledge £24k reduction from initial pledge following completion of their 2023 accounts</t>
      </text>
    </comment>
    <comment ref="C40" authorId="2" shapeId="0" xr:uid="{CE174F04-A485-44CC-8163-9169569FCF25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61" authorId="3" shapeId="0" xr:uid="{F4DFF5CE-2424-4A8B-8783-A6B3822FD88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12" authorId="4" shapeId="0" xr:uid="{2DC11E1B-77B5-4620-B54F-FD5753187C78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M121" authorId="5" shapeId="0" xr:uid="{82F38D83-DB84-4F26-A352-37D3C59BD08C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following SA email 280524</t>
      </text>
    </comment>
    <comment ref="C151" authorId="6" shapeId="0" xr:uid="{18209A5D-C16B-4146-ACE7-A1AAAA1F050D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68" authorId="7" shapeId="0" xr:uid="{FB96FCDE-9DDD-4EBA-9121-CF475B0DCA91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84" authorId="8" shapeId="0" xr:uid="{1F59CEEE-6D2D-425E-BA91-6F1780E1D507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85" authorId="9" shapeId="0" xr:uid="{48887F77-AFC0-4925-B94A-874E88EB414B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196" authorId="10" shapeId="0" xr:uid="{3C0383C8-BBCD-4FD0-A882-F37EAE66A89F}">
      <text>
        <t>[Threaded comment]
Your version of Excel allows you to read this threaded comment; however, any edits to it will get removed if the file is opened in a newer version of Excel. Learn more: https://go.microsoft.com/fwlink/?linkid=870924
Comment:
    Being combined with St John Chaple in 2025 ish
Stanhope Deanery dissolved 22/1/24 and reallocated</t>
      </text>
    </comment>
    <comment ref="C201" authorId="11" shapeId="0" xr:uid="{869EB097-C704-4C33-A8B2-7FC33113794C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208" authorId="12" shapeId="0" xr:uid="{5670843A-AD67-416B-8D29-6E119209BC14}">
      <text>
        <t>[Threaded comment]
Your version of Excel allows you to read this threaded comment; however, any edits to it will get removed if the file is opened in a newer version of Excel. Learn more: https://go.microsoft.com/fwlink/?linkid=870924
Comment:
    Stanhope Deanery dissolved 22/1/24 and reallocated</t>
      </text>
    </comment>
    <comment ref="C214" authorId="13" shapeId="0" xr:uid="{D1D0344B-88CD-4F5F-9826-D75DE8AD4FC2}">
      <text>
        <t>[Threaded comment]
Your version of Excel allows you to read this threaded comment; however, any edits to it will get removed if the file is opened in a newer version of Excel. Learn more: https://go.microsoft.com/fwlink/?linkid=870924
Comment:
    Being combined with St John Chaple in 2025 ish
Stanhope Deanery dissolved 22/1/24 and reallocated</t>
      </text>
    </comment>
    <comment ref="C215" authorId="14" shapeId="0" xr:uid="{571AF2BA-65BF-4283-A961-1B003EBB8213}">
      <text>
        <t>[Threaded comment]
Your version of Excel allows you to read this threaded comment; however, any edits to it will get removed if the file is opened in a newer version of Excel. Learn more: https://go.microsoft.com/fwlink/?linkid=870924
Comment:
    Being combined with Heastherycleugh in 2025 ish
St John-in-Weardale &amp; westgate combined from 18/1/24 &amp; Stanhope Deanery dissolved 22/1/24 and reallocated</t>
      </text>
    </comment>
  </commentList>
</comments>
</file>

<file path=xl/sharedStrings.xml><?xml version="1.0" encoding="utf-8"?>
<sst xmlns="http://schemas.openxmlformats.org/spreadsheetml/2006/main" count="1147" uniqueCount="513">
  <si>
    <t>DEANERY</t>
  </si>
  <si>
    <t>TOTALS</t>
  </si>
  <si>
    <t>MAXIMUM % OF UR INCOME REQUESTED</t>
  </si>
  <si>
    <t>ER</t>
  </si>
  <si>
    <t>INFLATION ASSUMPTION</t>
  </si>
  <si>
    <t>IMD Rank</t>
  </si>
  <si>
    <t>Population</t>
  </si>
  <si>
    <t>Finance Data</t>
  </si>
  <si>
    <t>USA</t>
  </si>
  <si>
    <t>MINISTRY</t>
  </si>
  <si>
    <t>Full Time Clergy</t>
  </si>
  <si>
    <t>DEPRIVATION</t>
  </si>
  <si>
    <t>IMD Score</t>
  </si>
  <si>
    <t>PEOPLE</t>
  </si>
  <si>
    <t>Usual Sunday Attendance</t>
  </si>
  <si>
    <t>Electoral Roll</t>
  </si>
  <si>
    <t>Parish Population</t>
  </si>
  <si>
    <t>Auckland St Helen</t>
  </si>
  <si>
    <t>Bishop Auckland</t>
  </si>
  <si>
    <t>Auckland</t>
  </si>
  <si>
    <t>Byers Green</t>
  </si>
  <si>
    <t>Coundon</t>
  </si>
  <si>
    <t>Croxdale</t>
  </si>
  <si>
    <t>Eldon</t>
  </si>
  <si>
    <t>Etherley</t>
  </si>
  <si>
    <t>Great Aycliffe</t>
  </si>
  <si>
    <t>Hamsterley</t>
  </si>
  <si>
    <t>Merrington</t>
  </si>
  <si>
    <t>Shildon</t>
  </si>
  <si>
    <t>Spennymoor</t>
  </si>
  <si>
    <t>Tudhoe</t>
  </si>
  <si>
    <t>Tudhoe Grange</t>
  </si>
  <si>
    <t>Whitworth</t>
  </si>
  <si>
    <t>Witton le Wear</t>
  </si>
  <si>
    <t>Guided pledge - finance</t>
  </si>
  <si>
    <t>Guided pledge - clergy</t>
  </si>
  <si>
    <t>Guided pledge - IMD</t>
  </si>
  <si>
    <t>Guided pledge - people</t>
  </si>
  <si>
    <t>Unrestricted income plus 10% restricted income</t>
  </si>
  <si>
    <t>Unrestricted reserves plus 10% restricted reserves</t>
  </si>
  <si>
    <t>Deanery</t>
  </si>
  <si>
    <t>Archdeaconry</t>
  </si>
  <si>
    <t>Parish</t>
  </si>
  <si>
    <t>Woodhouse Close CD</t>
  </si>
  <si>
    <t>Barnard Castle</t>
  </si>
  <si>
    <t>Barnard Castle w Whorlton</t>
  </si>
  <si>
    <t>Cockfield</t>
  </si>
  <si>
    <t>Eggleston</t>
  </si>
  <si>
    <t>Evenwood</t>
  </si>
  <si>
    <t>Forest &amp; Frith</t>
  </si>
  <si>
    <t>Gainford</t>
  </si>
  <si>
    <t>Ingleton</t>
  </si>
  <si>
    <t>Lynesack</t>
  </si>
  <si>
    <t>Middleton in Teesdale</t>
  </si>
  <si>
    <t>Staindrop</t>
  </si>
  <si>
    <t>Winston</t>
  </si>
  <si>
    <t>Chester le Street &amp; Houghton</t>
  </si>
  <si>
    <t>Birtley</t>
  </si>
  <si>
    <t>Burnmoor</t>
  </si>
  <si>
    <t>Chester le Street</t>
  </si>
  <si>
    <t>Chilton Moor</t>
  </si>
  <si>
    <t>East Rainton</t>
  </si>
  <si>
    <t>Fatfield St George</t>
  </si>
  <si>
    <t>Herrington, Penshaw &amp; Shiney Row</t>
  </si>
  <si>
    <t>Hetton-Lyons w Eppleton</t>
  </si>
  <si>
    <t>Houghton le Spring</t>
  </si>
  <si>
    <t>Lumley</t>
  </si>
  <si>
    <t>Oxclose</t>
  </si>
  <si>
    <t>Usworth Holy Trinity</t>
  </si>
  <si>
    <t>Washington</t>
  </si>
  <si>
    <t>West Pelton</t>
  </si>
  <si>
    <t>West Rainton</t>
  </si>
  <si>
    <t>Darlington</t>
  </si>
  <si>
    <t>Blackwell All Saints &amp; Salutation</t>
  </si>
  <si>
    <t>Cockerton</t>
  </si>
  <si>
    <t>Darlington Holy Trinity</t>
  </si>
  <si>
    <t>Darlington St Cuthbert</t>
  </si>
  <si>
    <t>Darlington St Hilda &amp; St Columba</t>
  </si>
  <si>
    <t>Darlington St James</t>
  </si>
  <si>
    <t>Darlington St Mark w St Paul</t>
  </si>
  <si>
    <t>Darlington St Matthew w St Luke</t>
  </si>
  <si>
    <t xml:space="preserve">Dinsdale </t>
  </si>
  <si>
    <t>Haughton le Skerne</t>
  </si>
  <si>
    <t>Heighington</t>
  </si>
  <si>
    <t>Hurworth</t>
  </si>
  <si>
    <t>Middleton St George</t>
  </si>
  <si>
    <t>Sadberge</t>
  </si>
  <si>
    <t>Sockburn / Girsby</t>
  </si>
  <si>
    <t>Durham</t>
  </si>
  <si>
    <t>Bearpark</t>
  </si>
  <si>
    <t>Belmont</t>
  </si>
  <si>
    <t>Brancepeth</t>
  </si>
  <si>
    <t>Brandon</t>
  </si>
  <si>
    <t>Chilton</t>
  </si>
  <si>
    <t>Cornforth &amp; Ferryhill</t>
  </si>
  <si>
    <t>Coxhoe</t>
  </si>
  <si>
    <t>Durham St Cuthbert w St Aidan</t>
  </si>
  <si>
    <t>Durham St Giles</t>
  </si>
  <si>
    <t>Durham St Margaret</t>
  </si>
  <si>
    <t>Durham St Nicholas</t>
  </si>
  <si>
    <t>Durham St Oswald</t>
  </si>
  <si>
    <t>Esh &amp; Hamsteels</t>
  </si>
  <si>
    <t>Kimblesworth</t>
  </si>
  <si>
    <t>Langley Park</t>
  </si>
  <si>
    <t>Neville's Cross St John</t>
  </si>
  <si>
    <t>Pittington St Laurence</t>
  </si>
  <si>
    <t xml:space="preserve">Shadforth  </t>
  </si>
  <si>
    <t>Sherburn</t>
  </si>
  <si>
    <t>Shincliffe</t>
  </si>
  <si>
    <t>Ushaw Moor</t>
  </si>
  <si>
    <t>Waterhouses</t>
  </si>
  <si>
    <t>Witton Gilbert &amp; Sacriston</t>
  </si>
  <si>
    <t>Easington</t>
  </si>
  <si>
    <t>Dalton le Dale</t>
  </si>
  <si>
    <t>Easington Colliery</t>
  </si>
  <si>
    <t>Hawthorn</t>
  </si>
  <si>
    <t>Horden</t>
  </si>
  <si>
    <t>Murton</t>
  </si>
  <si>
    <t>New Seaham</t>
  </si>
  <si>
    <t>Peterlee</t>
  </si>
  <si>
    <t>Seaham St Mary the Virgin</t>
  </si>
  <si>
    <t>Seaham Harbour &amp; Dawdon</t>
  </si>
  <si>
    <t>South Hetton</t>
  </si>
  <si>
    <t>Wingate w Hutton Henry</t>
  </si>
  <si>
    <t>Gateshead</t>
  </si>
  <si>
    <t>Bensham &amp; Teams</t>
  </si>
  <si>
    <t>Eighton Banks</t>
  </si>
  <si>
    <t>Felling</t>
  </si>
  <si>
    <t>Gateshead Fell</t>
  </si>
  <si>
    <t>Gateshead St George</t>
  </si>
  <si>
    <t>Gateshead St Helen</t>
  </si>
  <si>
    <t>Harlow Green</t>
  </si>
  <si>
    <t>Heworth St Mary</t>
  </si>
  <si>
    <t>Lamesley</t>
  </si>
  <si>
    <t>Leam Lane</t>
  </si>
  <si>
    <t>Windy Nook St Alban</t>
  </si>
  <si>
    <t>Gateshead West</t>
  </si>
  <si>
    <t>Chopwell</t>
  </si>
  <si>
    <t>Dunston St Nicholas w Christ Church</t>
  </si>
  <si>
    <t>Greenside</t>
  </si>
  <si>
    <t>High Spen &amp; Rowlands Gill</t>
  </si>
  <si>
    <t>Hillside</t>
  </si>
  <si>
    <t>Ryton</t>
  </si>
  <si>
    <t>Whickham</t>
  </si>
  <si>
    <t>Winlaton</t>
  </si>
  <si>
    <t>Hartlepool</t>
  </si>
  <si>
    <t>Elwick Hall</t>
  </si>
  <si>
    <t>Greatham</t>
  </si>
  <si>
    <t>Hart</t>
  </si>
  <si>
    <t>Hartlepool Holy Trinity</t>
  </si>
  <si>
    <t>Hartlepool St Aidan &amp; St Columba</t>
  </si>
  <si>
    <t>Hartlepool St Hilda</t>
  </si>
  <si>
    <t>Hartlepool St Luke</t>
  </si>
  <si>
    <t>Hartlepool St Oswald</t>
  </si>
  <si>
    <t>Hartlepool St Paul</t>
  </si>
  <si>
    <t>Owton Manor</t>
  </si>
  <si>
    <t>Seaton Carew</t>
  </si>
  <si>
    <t>Stranton All Saints</t>
  </si>
  <si>
    <t>Jarrow</t>
  </si>
  <si>
    <t>Boldon</t>
  </si>
  <si>
    <t>Cleadon</t>
  </si>
  <si>
    <t>Cleadon Park</t>
  </si>
  <si>
    <t>East Boldon</t>
  </si>
  <si>
    <t>Harton St Peter</t>
  </si>
  <si>
    <t>Hebburn St Cuthbert &amp; St Oswald</t>
  </si>
  <si>
    <t>Hebburn St John</t>
  </si>
  <si>
    <t>Hedworth</t>
  </si>
  <si>
    <t>Horsley Hill St Lawrence the Martyr</t>
  </si>
  <si>
    <t>Jarrow Grange</t>
  </si>
  <si>
    <t>Jarrow &amp; Simonside</t>
  </si>
  <si>
    <t>Rekendyke</t>
  </si>
  <si>
    <t>South Shields All Saints Team Ministry</t>
  </si>
  <si>
    <t>South Shields St Aidan &amp; St Stephen</t>
  </si>
  <si>
    <t>South Shields St Hilda w St Thomas</t>
  </si>
  <si>
    <t>South Westoe</t>
  </si>
  <si>
    <t>Whitburn</t>
  </si>
  <si>
    <t>Lanchester</t>
  </si>
  <si>
    <t>Benfieldside</t>
  </si>
  <si>
    <t>Burnopfield &amp; Dipton</t>
  </si>
  <si>
    <t>Castleside</t>
  </si>
  <si>
    <t>Harelaw &amp; Annfield Plain</t>
  </si>
  <si>
    <t>Consett</t>
  </si>
  <si>
    <t>Ebchester</t>
  </si>
  <si>
    <t>Lanchester &amp; Burnhope</t>
  </si>
  <si>
    <t>Leadgate</t>
  </si>
  <si>
    <t>Medomsley</t>
  </si>
  <si>
    <t>Stanley &amp; South Moor</t>
  </si>
  <si>
    <t>Tanfield</t>
  </si>
  <si>
    <t>Stanhope</t>
  </si>
  <si>
    <t>Eastgate</t>
  </si>
  <si>
    <t>Heatherycleugh</t>
  </si>
  <si>
    <t>Hunwick</t>
  </si>
  <si>
    <t>Satley</t>
  </si>
  <si>
    <t>Thornley</t>
  </si>
  <si>
    <t>Tow Law</t>
  </si>
  <si>
    <t>Willington &amp; Sunnybrow</t>
  </si>
  <si>
    <t>Wolsingham</t>
  </si>
  <si>
    <t>Stockton</t>
  </si>
  <si>
    <t>Billingham</t>
  </si>
  <si>
    <t>Egglescliffe</t>
  </si>
  <si>
    <t>Elton</t>
  </si>
  <si>
    <t>Long Newton</t>
  </si>
  <si>
    <t>Norton St Mary the Virgin</t>
  </si>
  <si>
    <t>Norton St Michael &amp; All Angels</t>
  </si>
  <si>
    <t>Preston on Tees</t>
  </si>
  <si>
    <t>Stockton Christchurch</t>
  </si>
  <si>
    <t>Stockton Country Parish</t>
  </si>
  <si>
    <t>Stockton on Tees Holy Trinity w St Mark</t>
  </si>
  <si>
    <t>Stockton on Tees St Paul</t>
  </si>
  <si>
    <t>Stockton on Tees St Peter</t>
  </si>
  <si>
    <t>Stockton Parish Church</t>
  </si>
  <si>
    <t>Upper Skerne TM</t>
  </si>
  <si>
    <t>Sunderland Minster</t>
  </si>
  <si>
    <t>Wearmouth</t>
  </si>
  <si>
    <t>Bishopwearmouth St Gabriel</t>
  </si>
  <si>
    <t>Bishopwearmouth St Mary Magdalene Millfield</t>
  </si>
  <si>
    <t>Bishopwearmouth St Nicholas</t>
  </si>
  <si>
    <t>Bishopwearmouth The Good Shepherd</t>
  </si>
  <si>
    <t>Grangetown St Aidan</t>
  </si>
  <si>
    <t>Hendon St Ignatius</t>
  </si>
  <si>
    <t>Monkwearmouth TM</t>
  </si>
  <si>
    <t>North Wearside</t>
  </si>
  <si>
    <t>Ryhope</t>
  </si>
  <si>
    <t>Sunderland St Matthew &amp; St Wilfrid</t>
  </si>
  <si>
    <t>Sunderland St Mary, St Thomas &amp; St Oswald</t>
  </si>
  <si>
    <t>Sunderland St Chad</t>
  </si>
  <si>
    <t>Sunderland St Mary &amp; St Peter</t>
  </si>
  <si>
    <t>Crook, St Catherine</t>
  </si>
  <si>
    <t>Newbottle, St Matthew</t>
  </si>
  <si>
    <t>Pelton, Holy Trinity</t>
  </si>
  <si>
    <t>Shotton Colliery, St Saviours</t>
  </si>
  <si>
    <t>Kelloe, St Helen's</t>
  </si>
  <si>
    <t>Coniscliffe, St Marys and St Edwins</t>
  </si>
  <si>
    <t>Swalwell</t>
  </si>
  <si>
    <t>Unrestricted income 2021</t>
  </si>
  <si>
    <t>Vine Church Wynyard</t>
  </si>
  <si>
    <t>Haswell</t>
  </si>
  <si>
    <t>Wheatley Hill &amp; Thornley</t>
  </si>
  <si>
    <t>Unrestricted reserves 2021</t>
  </si>
  <si>
    <t xml:space="preserve">2022 ACTUAL PLEDGE </t>
  </si>
  <si>
    <t>2023 Guided Pledge</t>
  </si>
  <si>
    <t xml:space="preserve">2023 GUIDED PLEDGE </t>
  </si>
  <si>
    <t xml:space="preserve">2023 ACTUAL PLEDGE </t>
  </si>
  <si>
    <t>2024 GUIDED PLEDGE</t>
  </si>
  <si>
    <t>Factor Weighting</t>
  </si>
  <si>
    <t>PARISH SHARE TARGET (Gross GP)</t>
  </si>
  <si>
    <t>Weighted Gross GP</t>
  </si>
  <si>
    <t>Unrestricted Income + 10% of Restricted Income</t>
  </si>
  <si>
    <t>Total per Base Data</t>
  </si>
  <si>
    <t>Unrestricted Reserves (UR Cash &amp; Investments)( + 10% of Restricted</t>
  </si>
  <si>
    <t>Weighting in Calculation</t>
  </si>
  <si>
    <t>GP FINANCE FACTORS</t>
  </si>
  <si>
    <t>SUMMARY</t>
  </si>
  <si>
    <t>CALULATION FACTORS</t>
  </si>
  <si>
    <t>Newton Hall LEP</t>
  </si>
  <si>
    <t>Uncapped Guided pledge - UGP</t>
  </si>
  <si>
    <t>Factor to be applied to Base Data</t>
  </si>
  <si>
    <t>2021 Guided Pledge</t>
  </si>
  <si>
    <t>2022 Guided Pledge</t>
  </si>
  <si>
    <t xml:space="preserve">Blaydon   </t>
  </si>
  <si>
    <t>Escomb &amp; Witton Park</t>
  </si>
  <si>
    <t>2022 Pledged</t>
  </si>
  <si>
    <t>2023 Pledged</t>
  </si>
  <si>
    <t>2021 Pledged</t>
  </si>
  <si>
    <t>Restricted reserves 2021</t>
  </si>
  <si>
    <t>Restricted income 2021</t>
  </si>
  <si>
    <t>Unrestricted income 2020</t>
  </si>
  <si>
    <t>Unrestricted reserves 2020</t>
  </si>
  <si>
    <t>2020 Pledged</t>
  </si>
  <si>
    <t>2019 Pledged</t>
  </si>
  <si>
    <t>Darlington St Herbert and St John</t>
  </si>
  <si>
    <t>Stanhope, Frosterley &amp; Rookhope</t>
  </si>
  <si>
    <t>Blackhall, Castle Eden &amp; Hesleden</t>
  </si>
  <si>
    <t>Pallion St. Luke (Millfield and Pallion)</t>
  </si>
  <si>
    <t>2024 Actual PLEDGE</t>
  </si>
  <si>
    <t>Parish Legal Name</t>
  </si>
  <si>
    <t>Parish Local Name</t>
  </si>
  <si>
    <t>Index of Multiple Deprivation (IMD) May 2024 parish sensus summary</t>
  </si>
  <si>
    <t xml:space="preserve">St John's Chapel and Westgate </t>
  </si>
  <si>
    <t>AUCKLAND</t>
  </si>
  <si>
    <t>STOCKTON</t>
  </si>
  <si>
    <t>Durham Dales</t>
  </si>
  <si>
    <t>Bowburn (Cassop-cum-Quarrington )</t>
  </si>
  <si>
    <t>2024 Usual Sunday Attendance updated May 24</t>
  </si>
  <si>
    <t>2024 Parish population per national church info May 24</t>
  </si>
  <si>
    <t xml:space="preserve">2024 Pledged </t>
  </si>
  <si>
    <t xml:space="preserve"> 2026 Guided pledge</t>
  </si>
  <si>
    <t>2026 pledge before 200% limit</t>
  </si>
  <si>
    <t>2025 Clergy per Deanery Plan per Arch Deacons</t>
  </si>
  <si>
    <t>Parish population per national church info used for 2026 (2021 census)</t>
  </si>
  <si>
    <t>West Weardale</t>
  </si>
  <si>
    <t>St. Helen Auckland</t>
  </si>
  <si>
    <t>Auckland: St Helen</t>
  </si>
  <si>
    <t>Barnard Castle with Whorlton</t>
  </si>
  <si>
    <t>Saint Edmund Bearpark</t>
  </si>
  <si>
    <t>DURHAM</t>
  </si>
  <si>
    <t>LANCHESTER</t>
  </si>
  <si>
    <t>Bensham and Teams</t>
  </si>
  <si>
    <t>GATESHEAD</t>
  </si>
  <si>
    <t>Chester le Street and Houghton</t>
  </si>
  <si>
    <t>St. Gabriel, Bishopwearmouth</t>
  </si>
  <si>
    <t>Bishopwearmouth: St Gabriel</t>
  </si>
  <si>
    <t>SUNDERLAND</t>
  </si>
  <si>
    <t>WEARMOUTH</t>
  </si>
  <si>
    <t>St. Mary Magdalene, Bishopwcarmouth Millfield</t>
  </si>
  <si>
    <t>Bishopwearmouth Millfield: St Mary Magdalene</t>
  </si>
  <si>
    <t>Bishopwearmouth St. Nicholas</t>
  </si>
  <si>
    <t>Bishopwearmouth: St Nicholas</t>
  </si>
  <si>
    <t>The Good Shepherd Bishopwearmouth</t>
  </si>
  <si>
    <t>Bishopwearmouth: The Good Shepherd</t>
  </si>
  <si>
    <t>Blackhall, Castle Eden with Hesleden</t>
  </si>
  <si>
    <t>Blackhall</t>
  </si>
  <si>
    <t>Blackwell All Saints and Salutation</t>
  </si>
  <si>
    <t>Blackwell: All Saints &amp; Salutation</t>
  </si>
  <si>
    <t>DARLINGTON</t>
  </si>
  <si>
    <t>Blaydon</t>
  </si>
  <si>
    <t>GATESHEAD, WEST</t>
  </si>
  <si>
    <t>JARROW</t>
  </si>
  <si>
    <t>St. John the Evangelist Brandon</t>
  </si>
  <si>
    <t>Burnopfield and Dipton</t>
  </si>
  <si>
    <t>Cassop-cum-Quarrington</t>
  </si>
  <si>
    <t>Chester-le-Street</t>
  </si>
  <si>
    <t>Chilton, Saint Aidan</t>
  </si>
  <si>
    <t>Chilton, St Aidan</t>
  </si>
  <si>
    <t>St. John Chopwell</t>
  </si>
  <si>
    <t>All Saints Cleadon</t>
  </si>
  <si>
    <t>Cleadon: All Saints</t>
  </si>
  <si>
    <t>St. Mark with St. Cuthbert Cleadon Park</t>
  </si>
  <si>
    <t>St. Mary Cockerton</t>
  </si>
  <si>
    <t>Coniscliffe</t>
  </si>
  <si>
    <t>Cornforth and Ferryhill</t>
  </si>
  <si>
    <t>Cornforth and FerryHill</t>
  </si>
  <si>
    <t>Crook</t>
  </si>
  <si>
    <t>Holy Trinity Darlington</t>
  </si>
  <si>
    <t>Darlington: Holy Trinity</t>
  </si>
  <si>
    <t>Darlington St. Cuthbert</t>
  </si>
  <si>
    <t>Darlington: St Cuthbert</t>
  </si>
  <si>
    <t>Saint Herbert and Saint John Darlington</t>
  </si>
  <si>
    <t>St Herbert and St John Darlington</t>
  </si>
  <si>
    <t>Darlington St. Hilda and St. Columba</t>
  </si>
  <si>
    <t>Darlington: St Hilda &amp; St Columba</t>
  </si>
  <si>
    <t>St. James, Albert Hill</t>
  </si>
  <si>
    <t>Darlington: St James</t>
  </si>
  <si>
    <t>Darlington St. Mark with St. Paul</t>
  </si>
  <si>
    <t>Darlington: St Mark w St Paul</t>
  </si>
  <si>
    <t>St. Matthew and St. Luke, Darlington</t>
  </si>
  <si>
    <t>Darlington: St Matthew &amp; St Luke</t>
  </si>
  <si>
    <t>Dinsdale</t>
  </si>
  <si>
    <t>St. Nicholas with Christ Church Dunston</t>
  </si>
  <si>
    <t>Dunston: St Nicholas w Christ Church</t>
  </si>
  <si>
    <t>Saint Cuthbert and Saint Aidan, Durham</t>
  </si>
  <si>
    <t>Durham: Saint Cuthbert and Saint Aidan</t>
  </si>
  <si>
    <t>St. Giles, Durham</t>
  </si>
  <si>
    <t>Durham: St Giles</t>
  </si>
  <si>
    <t>St. Margaret Durham</t>
  </si>
  <si>
    <t>Durham: St Margaret of Antioch</t>
  </si>
  <si>
    <t>St. Nicholas Durham</t>
  </si>
  <si>
    <t>Durham: St Nicholas</t>
  </si>
  <si>
    <t>Saint Oswald, Durham</t>
  </si>
  <si>
    <t>Durham: St Oswald</t>
  </si>
  <si>
    <t>St. George, East Boldon</t>
  </si>
  <si>
    <t>All Saints, Eastgate</t>
  </si>
  <si>
    <t>St. John the Baptist Egglescliffe</t>
  </si>
  <si>
    <t>St. Thomas Eighton Banks</t>
  </si>
  <si>
    <t>Escomb and Witton Park</t>
  </si>
  <si>
    <t>Esh and Hamsteels</t>
  </si>
  <si>
    <t>Fatfield</t>
  </si>
  <si>
    <t>Christ Church Felling</t>
  </si>
  <si>
    <t>Forest And Frith</t>
  </si>
  <si>
    <t>Gateshead Team Ministry</t>
  </si>
  <si>
    <t>St. George Gateshead</t>
  </si>
  <si>
    <t>Gateshead: St George</t>
  </si>
  <si>
    <t>St. Helen Gateshead</t>
  </si>
  <si>
    <t>Gateshead: St Helen</t>
  </si>
  <si>
    <t>St. Aidan, Grangetown</t>
  </si>
  <si>
    <t>Grangetown</t>
  </si>
  <si>
    <t>St. John, Greenside</t>
  </si>
  <si>
    <t>Harelaw and Annfield Plain</t>
  </si>
  <si>
    <t>Gateshead, Harlow Green, St. Ninian</t>
  </si>
  <si>
    <t>Holy Trinity Hartlepool</t>
  </si>
  <si>
    <t>Hartlepool: Holy Trinity</t>
  </si>
  <si>
    <t>St. Aidan and St. Columba, Hartlepool</t>
  </si>
  <si>
    <t>Hartlepool: St Aidan &amp; St Columba</t>
  </si>
  <si>
    <t>St. Hilda, Hartlepool</t>
  </si>
  <si>
    <t>Hartlepool: St Hilda</t>
  </si>
  <si>
    <t>St. Luke Hartlepool</t>
  </si>
  <si>
    <t>Hartlepool: St Luke</t>
  </si>
  <si>
    <t>St. Oswald, Hartlepool</t>
  </si>
  <si>
    <t>Hartlepool: St Oswald</t>
  </si>
  <si>
    <t>St. Paul Hartlepool</t>
  </si>
  <si>
    <t>Hartlepool: St Paul</t>
  </si>
  <si>
    <t>Harton</t>
  </si>
  <si>
    <t>Harton: St Peter</t>
  </si>
  <si>
    <t>Haughton-le-Skerne</t>
  </si>
  <si>
    <t>St. Michael, Hawthorn</t>
  </si>
  <si>
    <t>Hebburn Saint Cuthbert and Saint Oswald</t>
  </si>
  <si>
    <t>Hebburn: St. Cuthbert &amp; St Oswald</t>
  </si>
  <si>
    <t>St. John Hebburn</t>
  </si>
  <si>
    <t>Hebburn: St John</t>
  </si>
  <si>
    <t>Hendon</t>
  </si>
  <si>
    <t>Saint Michael and Saint Nicholas, Hetton-Lyons with Eppleton</t>
  </si>
  <si>
    <t>Hetton-Lyons w Eppleton: St Michael &amp; St Nicholas,</t>
  </si>
  <si>
    <t>Heworth</t>
  </si>
  <si>
    <t>Heworth: St Mary</t>
  </si>
  <si>
    <t>High Spen and Rowlands Gill</t>
  </si>
  <si>
    <t>Hillside (Lobley Hill &amp; Marley Hill)</t>
  </si>
  <si>
    <t>St. Lawrence the Martyr, Horsley Hill (South Shields)</t>
  </si>
  <si>
    <t>Horsley Hill: St Lawrence the Martyr (South Shields)</t>
  </si>
  <si>
    <t>Houghton-le-Spring</t>
  </si>
  <si>
    <t>Jarrow and Simonside</t>
  </si>
  <si>
    <t>Kelloe</t>
  </si>
  <si>
    <t>Lanchester and Burnhope</t>
  </si>
  <si>
    <t>St. Andrew, Leam Lane</t>
  </si>
  <si>
    <t>Christ Church Lumley</t>
  </si>
  <si>
    <t>Middleton-in-Teesdale</t>
  </si>
  <si>
    <t>Middleton St. George</t>
  </si>
  <si>
    <t>Middleton: St George</t>
  </si>
  <si>
    <t>Monkwearmouth</t>
  </si>
  <si>
    <t>Monkwearmouth Team Ministry</t>
  </si>
  <si>
    <t>Murton: Holy Trinity</t>
  </si>
  <si>
    <t>St. John Neville's Cross</t>
  </si>
  <si>
    <t>Neville's Cross: St John</t>
  </si>
  <si>
    <t>Christ Church, New Seaham</t>
  </si>
  <si>
    <t>St. Matthew, Newbottle</t>
  </si>
  <si>
    <t>Newbottle</t>
  </si>
  <si>
    <t>Newton Hall</t>
  </si>
  <si>
    <t>Newton Hall: LEP</t>
  </si>
  <si>
    <t>Norton</t>
  </si>
  <si>
    <t>Norton: St Mary the Virgin</t>
  </si>
  <si>
    <t>St. Michael and All Angels Norton</t>
  </si>
  <si>
    <t>Norton: St Michael &amp; All Angels</t>
  </si>
  <si>
    <t>Owton Manor St. James</t>
  </si>
  <si>
    <t>Oxclose: LEP</t>
  </si>
  <si>
    <t>Millfield and Pallion</t>
  </si>
  <si>
    <t>Pelton</t>
  </si>
  <si>
    <t>St. Cuthbert Peterlee</t>
  </si>
  <si>
    <t>Pittington</t>
  </si>
  <si>
    <t>Pittington: St Laurence</t>
  </si>
  <si>
    <t>All Saints Preston upon Tees</t>
  </si>
  <si>
    <t>Preston-onTees</t>
  </si>
  <si>
    <t>Seaham Harbour and Dawdon</t>
  </si>
  <si>
    <t>Seaham</t>
  </si>
  <si>
    <t>Seaham: St. Mary the Virgin</t>
  </si>
  <si>
    <t>Shadforth and Sherburn</t>
  </si>
  <si>
    <t>Shotton</t>
  </si>
  <si>
    <t>Sockburn</t>
  </si>
  <si>
    <t>Holy Trinity, South Hetton</t>
  </si>
  <si>
    <t>All Saints, South Shields</t>
  </si>
  <si>
    <t>South Shields: All Saints Team Ministry</t>
  </si>
  <si>
    <t>South Shields St. Aidan and St. Stephen</t>
  </si>
  <si>
    <t>South Shields: St Aidan &amp;  St Stephen (The Lawe)</t>
  </si>
  <si>
    <t>St. Hilda with St. Thomas, South Shields</t>
  </si>
  <si>
    <t>South Shields: St Hilda w St Thomas</t>
  </si>
  <si>
    <t>St. Paul Spennymoor</t>
  </si>
  <si>
    <t>Stanhope, Frosterley and Rookhope</t>
  </si>
  <si>
    <t>Stanley and South Moor</t>
  </si>
  <si>
    <t>Holy Trinity with Saint Mark, Stockton on Tees</t>
  </si>
  <si>
    <t>St. Paul Stockton-upon-Tees</t>
  </si>
  <si>
    <t>Stockton-onTees: St Paul</t>
  </si>
  <si>
    <t>St. Peter Stockton-upon-Tees</t>
  </si>
  <si>
    <t>Stockton-on-Tees: St Peter</t>
  </si>
  <si>
    <t>All Saints, Stranton</t>
  </si>
  <si>
    <t>Stranton</t>
  </si>
  <si>
    <t>St. Chad Sunderland</t>
  </si>
  <si>
    <t>Sunderland: St Chad</t>
  </si>
  <si>
    <t>Sunderland St. Mary and St. Peter</t>
  </si>
  <si>
    <t>Sunderland: St Mary &amp; St Peter</t>
  </si>
  <si>
    <t>Sunderland Saint Mary, Saint Thomas and Saint Oswald</t>
  </si>
  <si>
    <t>Sunderland St Mary, St Thomas and St Oswald</t>
  </si>
  <si>
    <t>Saint Matthew's and Saint Wilfrid's Sunderland</t>
  </si>
  <si>
    <t>St. Andrew Tudhoe Grange</t>
  </si>
  <si>
    <t>Upper Skerne</t>
  </si>
  <si>
    <t>St. Luke Ushaw Moor</t>
  </si>
  <si>
    <t>Usworth</t>
  </si>
  <si>
    <t>Wheatley Hill and Thornley</t>
  </si>
  <si>
    <t>Willington and Sunnybrow</t>
  </si>
  <si>
    <t>St. Alban Heworth</t>
  </si>
  <si>
    <t>Windy Nook: St Alban</t>
  </si>
  <si>
    <t>Wingate Grange</t>
  </si>
  <si>
    <t>Witton Gilbert and Sacriston</t>
  </si>
  <si>
    <t>Witton Gilbert</t>
  </si>
  <si>
    <t>Witton-le-Wear</t>
  </si>
  <si>
    <t>Heathery Cleugh</t>
  </si>
  <si>
    <t>St. John in Weardale</t>
  </si>
  <si>
    <t>St John's Chapel</t>
  </si>
  <si>
    <t xml:space="preserve">Unrestricted income 2024 </t>
  </si>
  <si>
    <t>Unrestricted income 2023</t>
  </si>
  <si>
    <t>Unrestricted income 2022</t>
  </si>
  <si>
    <t xml:space="preserve">Unrestricted reserves 2024 </t>
  </si>
  <si>
    <t xml:space="preserve">Unrestricted reserves 2023 </t>
  </si>
  <si>
    <t xml:space="preserve">Unrestricted reserves 2022 </t>
  </si>
  <si>
    <t>Restricted reserves 2024</t>
  </si>
  <si>
    <t xml:space="preserve">Restricted reserves 2023 </t>
  </si>
  <si>
    <t xml:space="preserve">Restricted reserves 2022 </t>
  </si>
  <si>
    <t>Restricted income 2024</t>
  </si>
  <si>
    <t xml:space="preserve">Restricted income 2023 </t>
  </si>
  <si>
    <t>Restricted income 2022</t>
  </si>
  <si>
    <t>Financial Information from Parish Finance Return</t>
  </si>
  <si>
    <t>Finance Component</t>
  </si>
  <si>
    <t>Clergy Component</t>
  </si>
  <si>
    <t>Deprivation Component</t>
  </si>
  <si>
    <t>Usual Sunday Attendance updated May 2024</t>
  </si>
  <si>
    <t>2024 Electoral roll updated May 24</t>
  </si>
  <si>
    <t>Electoral roll updaed used May 2024</t>
  </si>
  <si>
    <t>People Component</t>
  </si>
  <si>
    <t>65% limit unless Unrestricted Reserves &gt; Average Unrestricted Income</t>
  </si>
  <si>
    <t>Lower of 200% of Ministry cost or pledge before limit</t>
  </si>
  <si>
    <t>Application of caps</t>
  </si>
  <si>
    <t>2025 Pledge</t>
  </si>
  <si>
    <t>Pledges offered</t>
  </si>
  <si>
    <t>2025 Guided Pledge</t>
  </si>
  <si>
    <t xml:space="preserve"> 2024 Guided Pledge</t>
  </si>
  <si>
    <t>Previous Guided Pledge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</si>
</sst>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6" formatCode="&quot;£&quot;#,##0;[Red]\-&quot;£&quot;#,##0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  <numFmt numFmtId="167" formatCode="0.000"/>
    <numFmt numFmtId="168" formatCode="&quot;£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4"/>
      <name val="Calibri Light"/>
      <family val="2"/>
      <scheme val="major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CC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9" fontId="3" fillId="0" borderId="2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4" fillId="0" borderId="5" xfId="0" applyFont="1" applyBorder="1"/>
    <xf numFmtId="2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 applyAlignment="1">
      <alignment horizontal="left"/>
    </xf>
    <xf numFmtId="166" fontId="3" fillId="0" borderId="0" xfId="1" applyNumberFormat="1" applyFont="1" applyFill="1" applyBorder="1"/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3"/>
    <xf numFmtId="166" fontId="7" fillId="0" borderId="0" xfId="1" applyNumberFormat="1" applyFont="1" applyFill="1" applyBorder="1"/>
    <xf numFmtId="4" fontId="7" fillId="0" borderId="9" xfId="3" applyNumberFormat="1" applyBorder="1"/>
    <xf numFmtId="0" fontId="4" fillId="0" borderId="9" xfId="0" applyFont="1" applyBorder="1"/>
    <xf numFmtId="0" fontId="3" fillId="0" borderId="9" xfId="0" applyFont="1" applyBorder="1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" fontId="9" fillId="2" borderId="0" xfId="3" applyNumberFormat="1" applyFont="1" applyFill="1"/>
    <xf numFmtId="1" fontId="9" fillId="2" borderId="0" xfId="3" applyNumberFormat="1" applyFont="1" applyFill="1"/>
    <xf numFmtId="0" fontId="1" fillId="0" borderId="0" xfId="0" applyFont="1" applyAlignment="1">
      <alignment horizontal="center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9" fontId="1" fillId="0" borderId="0" xfId="2" applyFont="1" applyFill="1" applyAlignment="1">
      <alignment horizontal="left"/>
    </xf>
    <xf numFmtId="9" fontId="1" fillId="0" borderId="0" xfId="2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164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4" fontId="4" fillId="0" borderId="9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10" xfId="0" applyNumberFormat="1" applyFont="1" applyBorder="1"/>
    <xf numFmtId="166" fontId="10" fillId="0" borderId="10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9" fontId="3" fillId="0" borderId="0" xfId="0" applyNumberFormat="1" applyFont="1"/>
    <xf numFmtId="0" fontId="2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6" fontId="0" fillId="0" borderId="0" xfId="0" applyNumberFormat="1"/>
    <xf numFmtId="0" fontId="12" fillId="0" borderId="0" xfId="0" applyFont="1"/>
    <xf numFmtId="0" fontId="3" fillId="0" borderId="0" xfId="0" applyFont="1" applyAlignment="1">
      <alignment horizontal="center"/>
    </xf>
    <xf numFmtId="0" fontId="14" fillId="0" borderId="0" xfId="0" applyFont="1"/>
    <xf numFmtId="6" fontId="0" fillId="0" borderId="10" xfId="0" applyNumberFormat="1" applyBorder="1"/>
    <xf numFmtId="165" fontId="3" fillId="0" borderId="10" xfId="0" applyNumberFormat="1" applyFont="1" applyBorder="1" applyAlignment="1">
      <alignment horizontal="center"/>
    </xf>
    <xf numFmtId="166" fontId="3" fillId="0" borderId="10" xfId="1" applyNumberFormat="1" applyFont="1" applyFill="1" applyBorder="1"/>
    <xf numFmtId="3" fontId="0" fillId="0" borderId="0" xfId="0" applyNumberFormat="1"/>
    <xf numFmtId="3" fontId="0" fillId="0" borderId="10" xfId="0" applyNumberFormat="1" applyBorder="1"/>
    <xf numFmtId="167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6" fontId="12" fillId="0" borderId="0" xfId="0" applyNumberFormat="1" applyFont="1"/>
    <xf numFmtId="165" fontId="12" fillId="0" borderId="0" xfId="2" applyNumberFormat="1" applyFont="1" applyFill="1" applyBorder="1"/>
    <xf numFmtId="164" fontId="1" fillId="0" borderId="0" xfId="0" applyNumberFormat="1" applyFont="1" applyAlignment="1">
      <alignment horizontal="center" vertical="top" readingOrder="1"/>
    </xf>
    <xf numFmtId="38" fontId="1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9" fillId="0" borderId="0" xfId="1" applyNumberFormat="1" applyFont="1" applyFill="1" applyBorder="1" applyAlignment="1">
      <alignment horizontal="center"/>
    </xf>
    <xf numFmtId="0" fontId="15" fillId="7" borderId="0" xfId="0" applyFont="1" applyFill="1" applyAlignment="1">
      <alignment horizontal="center"/>
    </xf>
    <xf numFmtId="166" fontId="16" fillId="7" borderId="0" xfId="0" applyNumberFormat="1" applyFont="1" applyFill="1" applyAlignment="1">
      <alignment horizontal="center"/>
    </xf>
    <xf numFmtId="3" fontId="1" fillId="8" borderId="0" xfId="0" applyNumberFormat="1" applyFont="1" applyFill="1"/>
    <xf numFmtId="3" fontId="1" fillId="8" borderId="0" xfId="0" applyNumberFormat="1" applyFont="1" applyFill="1" applyAlignment="1">
      <alignment horizontal="center"/>
    </xf>
    <xf numFmtId="166" fontId="7" fillId="8" borderId="0" xfId="1" applyNumberFormat="1" applyFont="1" applyFill="1"/>
    <xf numFmtId="3" fontId="9" fillId="8" borderId="0" xfId="1" applyNumberFormat="1" applyFont="1" applyFill="1" applyBorder="1" applyAlignment="1"/>
    <xf numFmtId="3" fontId="9" fillId="8" borderId="0" xfId="1" applyNumberFormat="1" applyFont="1" applyFill="1" applyBorder="1" applyAlignment="1">
      <alignment horizontal="right"/>
    </xf>
    <xf numFmtId="164" fontId="3" fillId="8" borderId="0" xfId="0" applyNumberFormat="1" applyFont="1" applyFill="1" applyAlignment="1">
      <alignment horizontal="right"/>
    </xf>
    <xf numFmtId="38" fontId="1" fillId="8" borderId="0" xfId="0" applyNumberFormat="1" applyFont="1" applyFill="1" applyAlignment="1">
      <alignment horizontal="right" vertical="top" readingOrder="1"/>
    </xf>
    <xf numFmtId="38" fontId="1" fillId="0" borderId="0" xfId="0" applyNumberFormat="1" applyFont="1" applyAlignment="1">
      <alignment horizontal="center"/>
    </xf>
    <xf numFmtId="0" fontId="10" fillId="0" borderId="0" xfId="0" applyFont="1"/>
    <xf numFmtId="1" fontId="1" fillId="0" borderId="0" xfId="2" applyNumberFormat="1" applyFont="1" applyFill="1" applyAlignment="1">
      <alignment horizontal="center"/>
    </xf>
    <xf numFmtId="4" fontId="9" fillId="3" borderId="0" xfId="3" applyNumberFormat="1" applyFont="1" applyFill="1"/>
    <xf numFmtId="3" fontId="0" fillId="0" borderId="0" xfId="0" applyNumberFormat="1" applyAlignment="1">
      <alignment horizontal="right"/>
    </xf>
    <xf numFmtId="164" fontId="1" fillId="9" borderId="0" xfId="0" applyNumberFormat="1" applyFont="1" applyFill="1" applyAlignment="1">
      <alignment horizontal="right"/>
    </xf>
    <xf numFmtId="38" fontId="7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8" fontId="9" fillId="3" borderId="0" xfId="3" applyNumberFormat="1" applyFont="1" applyFill="1"/>
    <xf numFmtId="3" fontId="3" fillId="5" borderId="0" xfId="0" applyNumberFormat="1" applyFont="1" applyFill="1" applyAlignment="1">
      <alignment horizontal="center"/>
    </xf>
    <xf numFmtId="0" fontId="1" fillId="8" borderId="0" xfId="4" applyFill="1" applyAlignment="1">
      <alignment horizontal="center"/>
    </xf>
    <xf numFmtId="0" fontId="10" fillId="8" borderId="0" xfId="0" applyFont="1" applyFill="1" applyAlignment="1">
      <alignment horizontal="center"/>
    </xf>
    <xf numFmtId="3" fontId="9" fillId="8" borderId="0" xfId="1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 vertical="top" readingOrder="1"/>
    </xf>
    <xf numFmtId="164" fontId="1" fillId="4" borderId="0" xfId="0" applyNumberFormat="1" applyFont="1" applyFill="1" applyAlignment="1">
      <alignment horizontal="right"/>
    </xf>
    <xf numFmtId="2" fontId="1" fillId="0" borderId="0" xfId="0" applyNumberFormat="1" applyFont="1" applyAlignment="1">
      <alignment horizontal="center"/>
    </xf>
    <xf numFmtId="166" fontId="9" fillId="6" borderId="0" xfId="1" applyNumberFormat="1" applyFont="1" applyFill="1"/>
    <xf numFmtId="3" fontId="9" fillId="6" borderId="0" xfId="3" applyNumberFormat="1" applyFont="1" applyFill="1"/>
    <xf numFmtId="3" fontId="1" fillId="6" borderId="3" xfId="0" applyNumberFormat="1" applyFont="1" applyFill="1" applyBorder="1" applyAlignment="1">
      <alignment horizontal="center"/>
    </xf>
    <xf numFmtId="3" fontId="1" fillId="6" borderId="0" xfId="0" applyNumberFormat="1" applyFont="1" applyFill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3" fontId="1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3" fontId="11" fillId="0" borderId="0" xfId="1" applyNumberFormat="1" applyFont="1" applyFill="1" applyBorder="1" applyAlignment="1">
      <alignment horizontal="center"/>
    </xf>
    <xf numFmtId="166" fontId="18" fillId="0" borderId="0" xfId="1" applyNumberFormat="1" applyFont="1" applyFill="1" applyBorder="1"/>
    <xf numFmtId="1" fontId="9" fillId="0" borderId="0" xfId="3" applyNumberFormat="1" applyFont="1"/>
    <xf numFmtId="38" fontId="9" fillId="0" borderId="0" xfId="3" applyNumberFormat="1" applyFont="1"/>
    <xf numFmtId="4" fontId="9" fillId="0" borderId="0" xfId="3" applyNumberFormat="1" applyFont="1"/>
    <xf numFmtId="3" fontId="9" fillId="0" borderId="0" xfId="3" applyNumberFormat="1" applyFont="1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7" fillId="0" borderId="0" xfId="1" applyNumberFormat="1" applyFont="1" applyFill="1"/>
    <xf numFmtId="3" fontId="9" fillId="0" borderId="0" xfId="1" applyNumberFormat="1" applyFont="1" applyFill="1" applyBorder="1" applyAlignment="1"/>
    <xf numFmtId="164" fontId="3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 vertical="top" readingOrder="1"/>
    </xf>
    <xf numFmtId="1" fontId="9" fillId="10" borderId="0" xfId="3" applyNumberFormat="1" applyFont="1" applyFill="1"/>
    <xf numFmtId="4" fontId="9" fillId="10" borderId="0" xfId="3" applyNumberFormat="1" applyFont="1" applyFill="1"/>
    <xf numFmtId="3" fontId="1" fillId="10" borderId="0" xfId="0" applyNumberFormat="1" applyFont="1" applyFill="1"/>
    <xf numFmtId="0" fontId="1" fillId="10" borderId="0" xfId="0" applyFont="1" applyFill="1" applyAlignment="1">
      <alignment horizontal="center"/>
    </xf>
    <xf numFmtId="2" fontId="1" fillId="10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center"/>
    </xf>
    <xf numFmtId="164" fontId="1" fillId="10" borderId="0" xfId="0" applyNumberFormat="1" applyFont="1" applyFill="1" applyAlignment="1">
      <alignment horizontal="center" vertical="top" readingOrder="1"/>
    </xf>
    <xf numFmtId="3" fontId="9" fillId="10" borderId="0" xfId="1" applyNumberFormat="1" applyFont="1" applyFill="1" applyBorder="1" applyAlignment="1">
      <alignment horizontal="right"/>
    </xf>
    <xf numFmtId="0" fontId="1" fillId="10" borderId="0" xfId="4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8" fillId="10" borderId="0" xfId="4" applyFont="1" applyFill="1" applyAlignment="1">
      <alignment horizontal="center"/>
    </xf>
    <xf numFmtId="168" fontId="9" fillId="10" borderId="0" xfId="1" applyNumberFormat="1" applyFont="1" applyFill="1" applyBorder="1" applyAlignment="1">
      <alignment horizontal="right"/>
    </xf>
    <xf numFmtId="3" fontId="5" fillId="10" borderId="0" xfId="0" applyNumberFormat="1" applyFont="1" applyFill="1"/>
    <xf numFmtId="0" fontId="10" fillId="10" borderId="0" xfId="0" applyFont="1" applyFill="1" applyAlignment="1">
      <alignment horizontal="center"/>
    </xf>
    <xf numFmtId="3" fontId="1" fillId="10" borderId="0" xfId="0" applyNumberFormat="1" applyFont="1" applyFill="1" applyAlignment="1">
      <alignment horizontal="right"/>
    </xf>
    <xf numFmtId="166" fontId="9" fillId="10" borderId="0" xfId="1" applyNumberFormat="1" applyFont="1" applyFill="1"/>
    <xf numFmtId="0" fontId="1" fillId="0" borderId="0" xfId="4" applyAlignment="1">
      <alignment horizontal="center"/>
    </xf>
    <xf numFmtId="0" fontId="9" fillId="0" borderId="0" xfId="3" applyFont="1"/>
    <xf numFmtId="1" fontId="1" fillId="0" borderId="0" xfId="0" applyNumberFormat="1" applyFont="1" applyAlignment="1">
      <alignment horizontal="center"/>
    </xf>
    <xf numFmtId="0" fontId="5" fillId="0" borderId="0" xfId="4" applyFont="1" applyAlignment="1">
      <alignment horizontal="center"/>
    </xf>
    <xf numFmtId="164" fontId="0" fillId="0" borderId="0" xfId="0" applyNumberFormat="1" applyAlignment="1">
      <alignment horizontal="right"/>
    </xf>
    <xf numFmtId="1" fontId="11" fillId="0" borderId="0" xfId="3" applyNumberFormat="1" applyFont="1"/>
    <xf numFmtId="38" fontId="11" fillId="0" borderId="0" xfId="3" applyNumberFormat="1" applyFont="1"/>
    <xf numFmtId="4" fontId="11" fillId="0" borderId="0" xfId="3" applyNumberFormat="1" applyFont="1"/>
    <xf numFmtId="3" fontId="11" fillId="0" borderId="0" xfId="3" applyNumberFormat="1" applyFont="1"/>
    <xf numFmtId="3" fontId="2" fillId="0" borderId="0" xfId="0" applyNumberFormat="1" applyFont="1"/>
    <xf numFmtId="3" fontId="1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 readingOrder="1"/>
    </xf>
    <xf numFmtId="164" fontId="2" fillId="0" borderId="0" xfId="0" applyNumberFormat="1" applyFont="1" applyAlignment="1">
      <alignment horizontal="right"/>
    </xf>
    <xf numFmtId="166" fontId="18" fillId="0" borderId="0" xfId="1" applyNumberFormat="1" applyFont="1" applyFill="1"/>
    <xf numFmtId="3" fontId="11" fillId="0" borderId="0" xfId="1" applyNumberFormat="1" applyFont="1" applyFill="1" applyBorder="1" applyAlignment="1"/>
    <xf numFmtId="3" fontId="11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right" vertical="top" readingOrder="1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20" fillId="10" borderId="0" xfId="0" applyFont="1" applyFill="1" applyAlignment="1">
      <alignment horizontal="center" vertical="center" textRotation="90" wrapText="1"/>
    </xf>
    <xf numFmtId="0" fontId="21" fillId="10" borderId="0" xfId="3" applyFont="1" applyFill="1" applyAlignment="1">
      <alignment horizontal="center" vertical="center" textRotation="90" wrapText="1"/>
    </xf>
    <xf numFmtId="3" fontId="22" fillId="10" borderId="0" xfId="0" applyNumberFormat="1" applyFont="1" applyFill="1" applyAlignment="1">
      <alignment horizontal="center" vertical="center" textRotation="90" wrapText="1"/>
    </xf>
    <xf numFmtId="1" fontId="15" fillId="10" borderId="0" xfId="3" applyNumberFormat="1" applyFont="1" applyFill="1" applyAlignment="1">
      <alignment horizontal="center" vertical="center" textRotation="90" wrapText="1"/>
    </xf>
    <xf numFmtId="0" fontId="22" fillId="10" borderId="0" xfId="0" applyFont="1" applyFill="1" applyAlignment="1">
      <alignment horizontal="center" vertical="center" textRotation="90" wrapText="1"/>
    </xf>
    <xf numFmtId="6" fontId="23" fillId="10" borderId="0" xfId="0" applyNumberFormat="1" applyFont="1" applyFill="1" applyAlignment="1">
      <alignment horizontal="center" vertical="center" textRotation="90"/>
    </xf>
    <xf numFmtId="1" fontId="21" fillId="0" borderId="0" xfId="3" applyNumberFormat="1" applyFont="1" applyAlignment="1">
      <alignment horizontal="center" vertical="center" textRotation="90"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center" vertical="center" textRotation="90" wrapText="1"/>
    </xf>
    <xf numFmtId="0" fontId="24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21" fillId="11" borderId="0" xfId="3" applyFont="1" applyFill="1" applyAlignment="1">
      <alignment horizontal="center" vertical="center" textRotation="90" wrapText="1"/>
    </xf>
    <xf numFmtId="4" fontId="9" fillId="11" borderId="0" xfId="3" applyNumberFormat="1" applyFont="1" applyFill="1"/>
    <xf numFmtId="38" fontId="9" fillId="11" borderId="0" xfId="3" applyNumberFormat="1" applyFont="1" applyFill="1"/>
    <xf numFmtId="0" fontId="9" fillId="11" borderId="0" xfId="3" applyFont="1" applyFill="1"/>
    <xf numFmtId="3" fontId="22" fillId="11" borderId="0" xfId="0" applyNumberFormat="1" applyFont="1" applyFill="1" applyAlignment="1">
      <alignment horizontal="center" vertical="center" textRotation="90" wrapText="1"/>
    </xf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3" fontId="1" fillId="11" borderId="0" xfId="0" applyNumberFormat="1" applyFont="1" applyFill="1" applyAlignment="1">
      <alignment horizontal="right"/>
    </xf>
    <xf numFmtId="5" fontId="21" fillId="10" borderId="0" xfId="3" applyNumberFormat="1" applyFont="1" applyFill="1" applyAlignment="1">
      <alignment horizontal="center" vertical="center" textRotation="90" wrapText="1"/>
    </xf>
    <xf numFmtId="5" fontId="21" fillId="0" borderId="0" xfId="3" applyNumberFormat="1" applyFont="1" applyAlignment="1">
      <alignment horizontal="center" vertical="center" textRotation="90" wrapText="1"/>
    </xf>
    <xf numFmtId="5" fontId="22" fillId="11" borderId="0" xfId="0" applyNumberFormat="1" applyFont="1" applyFill="1" applyAlignment="1">
      <alignment horizontal="center" vertical="center" textRotation="90" wrapText="1"/>
    </xf>
    <xf numFmtId="5" fontId="22" fillId="10" borderId="0" xfId="0" applyNumberFormat="1" applyFont="1" applyFill="1" applyAlignment="1">
      <alignment horizontal="center" vertical="center" textRotation="90" wrapText="1"/>
    </xf>
    <xf numFmtId="5" fontId="22" fillId="0" borderId="0" xfId="0" applyNumberFormat="1" applyFont="1" applyAlignment="1">
      <alignment horizontal="center" vertical="center" textRotation="90" wrapText="1"/>
    </xf>
    <xf numFmtId="5" fontId="1" fillId="10" borderId="0" xfId="0" applyNumberFormat="1" applyFont="1" applyFill="1" applyAlignment="1">
      <alignment horizontal="right"/>
    </xf>
    <xf numFmtId="5" fontId="9" fillId="0" borderId="0" xfId="3" applyNumberFormat="1" applyFont="1"/>
    <xf numFmtId="5" fontId="9" fillId="11" borderId="0" xfId="3" applyNumberFormat="1" applyFont="1" applyFill="1"/>
    <xf numFmtId="5" fontId="1" fillId="10" borderId="0" xfId="0" applyNumberFormat="1" applyFont="1" applyFill="1"/>
    <xf numFmtId="5" fontId="1" fillId="11" borderId="0" xfId="0" applyNumberFormat="1" applyFont="1" applyFill="1"/>
    <xf numFmtId="5" fontId="9" fillId="10" borderId="0" xfId="3" applyNumberFormat="1" applyFont="1" applyFill="1"/>
    <xf numFmtId="5" fontId="1" fillId="0" borderId="0" xfId="0" applyNumberFormat="1" applyFont="1"/>
    <xf numFmtId="5" fontId="9" fillId="11" borderId="0" xfId="1" applyNumberFormat="1" applyFont="1" applyFill="1"/>
    <xf numFmtId="5" fontId="9" fillId="10" borderId="0" xfId="1" applyNumberFormat="1" applyFont="1" applyFill="1"/>
    <xf numFmtId="5" fontId="9" fillId="10" borderId="0" xfId="1" applyNumberFormat="1" applyFont="1" applyFill="1" applyAlignment="1"/>
    <xf numFmtId="5" fontId="9" fillId="11" borderId="0" xfId="1" applyNumberFormat="1" applyFont="1" applyFill="1" applyAlignment="1"/>
    <xf numFmtId="5" fontId="1" fillId="11" borderId="0" xfId="0" applyNumberFormat="1" applyFont="1" applyFill="1" applyAlignment="1">
      <alignment horizontal="right"/>
    </xf>
    <xf numFmtId="5" fontId="1" fillId="0" borderId="0" xfId="0" applyNumberFormat="1" applyFont="1" applyAlignment="1">
      <alignment horizontal="right"/>
    </xf>
    <xf numFmtId="5" fontId="10" fillId="10" borderId="10" xfId="0" applyNumberFormat="1" applyFont="1" applyFill="1" applyBorder="1" applyAlignment="1">
      <alignment horizontal="right"/>
    </xf>
    <xf numFmtId="5" fontId="1" fillId="11" borderId="10" xfId="0" applyNumberFormat="1" applyFont="1" applyFill="1" applyBorder="1"/>
    <xf numFmtId="5" fontId="1" fillId="10" borderId="10" xfId="0" applyNumberFormat="1" applyFont="1" applyFill="1" applyBorder="1"/>
    <xf numFmtId="5" fontId="1" fillId="0" borderId="10" xfId="0" applyNumberFormat="1" applyFont="1" applyBorder="1"/>
    <xf numFmtId="5" fontId="1" fillId="0" borderId="0" xfId="0" applyNumberFormat="1" applyFont="1" applyAlignment="1">
      <alignment horizontal="left"/>
    </xf>
    <xf numFmtId="5" fontId="3" fillId="11" borderId="0" xfId="0" applyNumberFormat="1" applyFont="1" applyFill="1" applyAlignment="1">
      <alignment horizontal="center"/>
    </xf>
    <xf numFmtId="5" fontId="3" fillId="11" borderId="0" xfId="0" applyNumberFormat="1" applyFont="1" applyFill="1" applyAlignment="1">
      <alignment horizontal="right"/>
    </xf>
    <xf numFmtId="5" fontId="3" fillId="10" borderId="0" xfId="0" applyNumberFormat="1" applyFont="1" applyFill="1" applyAlignment="1">
      <alignment horizontal="right"/>
    </xf>
    <xf numFmtId="5" fontId="1" fillId="11" borderId="10" xfId="0" applyNumberFormat="1" applyFont="1" applyFill="1" applyBorder="1" applyAlignment="1">
      <alignment horizontal="right"/>
    </xf>
    <xf numFmtId="0" fontId="22" fillId="11" borderId="0" xfId="0" applyFont="1" applyFill="1" applyAlignment="1">
      <alignment horizontal="center" vertical="center" textRotation="90" wrapText="1"/>
    </xf>
    <xf numFmtId="3" fontId="1" fillId="11" borderId="0" xfId="0" applyNumberFormat="1" applyFont="1" applyFill="1" applyAlignment="1">
      <alignment horizontal="center"/>
    </xf>
    <xf numFmtId="5" fontId="1" fillId="10" borderId="10" xfId="0" applyNumberFormat="1" applyFont="1" applyFill="1" applyBorder="1" applyAlignment="1">
      <alignment horizontal="right"/>
    </xf>
    <xf numFmtId="4" fontId="1" fillId="10" borderId="10" xfId="0" applyNumberFormat="1" applyFont="1" applyFill="1" applyBorder="1"/>
    <xf numFmtId="0" fontId="1" fillId="11" borderId="0" xfId="0" applyFont="1" applyFill="1" applyAlignment="1">
      <alignment horizontal="center"/>
    </xf>
    <xf numFmtId="164" fontId="1" fillId="11" borderId="0" xfId="0" applyNumberFormat="1" applyFont="1" applyFill="1" applyAlignment="1">
      <alignment horizontal="center"/>
    </xf>
    <xf numFmtId="5" fontId="1" fillId="10" borderId="0" xfId="0" applyNumberFormat="1" applyFont="1" applyFill="1" applyAlignment="1">
      <alignment horizontal="center" vertical="top" readingOrder="1"/>
    </xf>
    <xf numFmtId="5" fontId="10" fillId="11" borderId="10" xfId="0" applyNumberFormat="1" applyFont="1" applyFill="1" applyBorder="1" applyAlignment="1">
      <alignment horizontal="right"/>
    </xf>
    <xf numFmtId="5" fontId="10" fillId="10" borderId="10" xfId="0" applyNumberFormat="1" applyFont="1" applyFill="1" applyBorder="1" applyAlignment="1">
      <alignment horizontal="left"/>
    </xf>
    <xf numFmtId="5" fontId="23" fillId="0" borderId="0" xfId="0" applyNumberFormat="1" applyFont="1" applyAlignment="1">
      <alignment horizontal="center" vertical="center" textRotation="90"/>
    </xf>
    <xf numFmtId="5" fontId="7" fillId="10" borderId="0" xfId="1" applyNumberFormat="1" applyFont="1" applyFill="1" applyBorder="1"/>
    <xf numFmtId="5" fontId="1" fillId="10" borderId="0" xfId="0" applyNumberFormat="1" applyFont="1" applyFill="1" applyAlignment="1">
      <alignment horizontal="right" vertical="top" readingOrder="1"/>
    </xf>
    <xf numFmtId="5" fontId="1" fillId="0" borderId="0" xfId="0" applyNumberFormat="1" applyFont="1" applyAlignment="1">
      <alignment horizontal="center" vertical="top" readingOrder="1"/>
    </xf>
    <xf numFmtId="5" fontId="7" fillId="10" borderId="0" xfId="1" applyNumberFormat="1" applyFont="1" applyFill="1"/>
    <xf numFmtId="5" fontId="9" fillId="10" borderId="0" xfId="1" applyNumberFormat="1" applyFont="1" applyFill="1" applyBorder="1" applyAlignment="1">
      <alignment horizontal="right"/>
    </xf>
    <xf numFmtId="5" fontId="7" fillId="0" borderId="0" xfId="3" applyNumberFormat="1"/>
    <xf numFmtId="5" fontId="7" fillId="11" borderId="0" xfId="1" applyNumberFormat="1" applyFont="1" applyFill="1" applyBorder="1"/>
    <xf numFmtId="5" fontId="1" fillId="11" borderId="0" xfId="0" applyNumberFormat="1" applyFont="1" applyFill="1" applyAlignment="1">
      <alignment horizontal="right" vertical="top" readingOrder="1"/>
    </xf>
    <xf numFmtId="5" fontId="7" fillId="11" borderId="0" xfId="1" applyNumberFormat="1" applyFont="1" applyFill="1" applyAlignment="1">
      <alignment horizontal="right"/>
    </xf>
    <xf numFmtId="5" fontId="9" fillId="11" borderId="0" xfId="1" applyNumberFormat="1" applyFont="1" applyFill="1" applyBorder="1" applyAlignment="1">
      <alignment horizontal="right"/>
    </xf>
    <xf numFmtId="5" fontId="9" fillId="11" borderId="0" xfId="1" applyNumberFormat="1" applyFont="1" applyFill="1" applyBorder="1" applyAlignment="1"/>
    <xf numFmtId="0" fontId="15" fillId="10" borderId="0" xfId="0" applyFont="1" applyFill="1" applyAlignment="1">
      <alignment horizontal="center"/>
    </xf>
    <xf numFmtId="1" fontId="15" fillId="10" borderId="0" xfId="0" applyNumberFormat="1" applyFont="1" applyFill="1" applyAlignment="1">
      <alignment horizontal="center"/>
    </xf>
    <xf numFmtId="3" fontId="15" fillId="10" borderId="0" xfId="0" applyNumberFormat="1" applyFont="1" applyFill="1" applyAlignment="1">
      <alignment horizontal="center"/>
    </xf>
    <xf numFmtId="0" fontId="15" fillId="10" borderId="0" xfId="0" applyFont="1" applyFill="1" applyAlignment="1">
      <alignment horizontal="left"/>
    </xf>
  </cellXfs>
  <cellStyles count="7">
    <cellStyle name="Comma" xfId="1" builtinId="3"/>
    <cellStyle name="Comma 2" xfId="6" xr:uid="{10261FE2-05B8-4614-9D51-AB685EC8F84C}"/>
    <cellStyle name="Normal" xfId="0" builtinId="0"/>
    <cellStyle name="Normal 2" xfId="3" xr:uid="{00000000-0005-0000-0000-000002000000}"/>
    <cellStyle name="Normal 3" xfId="4" xr:uid="{183C6E5C-3107-4AEC-B7D1-90761893DBCA}"/>
    <cellStyle name="Normal 3 2" xfId="5" xr:uid="{2F572C11-0593-47B9-A13D-01336DE39955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FF99FF"/>
      <color rgb="FFFF33CC"/>
      <color rgb="FFFFDE75"/>
      <color rgb="FFA9D08E"/>
      <color rgb="FFFFC000"/>
      <color rgb="FFB4C6E7"/>
      <color rgb="FFFF6600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ry Taylor" id="{8CF69D5B-C02A-48B4-83A6-486ADC5B2C9A}" userId="6697fda7d790f4c8" providerId="Windows Live"/>
  <person displayName="Gary Taylor" id="{93EDB14F-923D-4948-93D0-0FB95D759BFE}" userId="S::Gary.Taylor@durhamanglican.onmicrosoft.com::69d512d2-f08a-4956-8174-d1c0c0fb4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Y2" dT="2025-07-28T14:42:00.32" personId="{93EDB14F-923D-4948-93D0-0FB95D759BFE}" id="{8278A49C-CA48-4B9E-A4C7-D3C3B4210717}">
    <text>=+'K:\Guided Pledge\2026\[Stipend cal for 2026.xlsx]2026 forecast'!$I$25</text>
  </threadedComment>
  <threadedComment ref="C6" dT="2024-07-29T13:26:38.71" personId="{8CF69D5B-C02A-48B4-83A6-486ADC5B2C9A}" id="{E5C9B70E-18FC-42FC-937A-C824459E0D39}">
    <text>24 Actual Pledge £24k reduction from initial pledge following completion of their 2023 accounts</text>
  </threadedComment>
  <threadedComment ref="C40" dT="2024-07-29T13:27:22.39" personId="{8CF69D5B-C02A-48B4-83A6-486ADC5B2C9A}" id="{CE174F04-A485-44CC-8163-9169569FCF25}">
    <text>Stanhope Deanery dissolved 22/1/24 and reallocated</text>
  </threadedComment>
  <threadedComment ref="C61" dT="2024-07-29T13:27:45.33" personId="{8CF69D5B-C02A-48B4-83A6-486ADC5B2C9A}" id="{F4DFF5CE-2424-4A8B-8783-A6B3822FD881}">
    <text>Stanhope Deanery dissolved 22/1/24 and reallocated</text>
  </threadedComment>
  <threadedComment ref="C112" dT="2024-07-29T13:28:17.76" personId="{8CF69D5B-C02A-48B4-83A6-486ADC5B2C9A}" id="{2DC11E1B-77B5-4620-B54F-FD5753187C78}">
    <text>Stanhope Deanery dissolved 22/1/24 and reallocated</text>
  </threadedComment>
  <threadedComment ref="M121" dT="2024-05-28T15:18:04.14" personId="{8CF69D5B-C02A-48B4-83A6-486ADC5B2C9A}" id="{82F38D83-DB84-4F26-A352-37D3C59BD08C}">
    <text>Revised following SA email 280524</text>
  </threadedComment>
  <threadedComment ref="C151" dT="2024-07-29T13:28:34.46" personId="{8CF69D5B-C02A-48B4-83A6-486ADC5B2C9A}" id="{18209A5D-C16B-4146-ACE7-A1AAAA1F050D}">
    <text>Stanhope Deanery dissolved 22/1/24 and reallocated</text>
  </threadedComment>
  <threadedComment ref="C168" dT="2024-07-29T13:28:53.17" personId="{8CF69D5B-C02A-48B4-83A6-486ADC5B2C9A}" id="{FB96FCDE-9DDD-4EBA-9121-CF475B0DCA91}">
    <text>Stanhope Deanery dissolved 22/1/24 and reallocated</text>
  </threadedComment>
  <threadedComment ref="C184" dT="2024-07-29T13:29:18.89" personId="{8CF69D5B-C02A-48B4-83A6-486ADC5B2C9A}" id="{1F59CEEE-6D2D-425E-BA91-6F1780E1D507}">
    <text>Stanhope Deanery dissolved 22/1/24 and reallocated</text>
  </threadedComment>
  <threadedComment ref="C185" dT="2024-07-29T13:29:07.39" personId="{8CF69D5B-C02A-48B4-83A6-486ADC5B2C9A}" id="{48887F77-AFC0-4925-B94A-874E88EB414B}">
    <text>Stanhope Deanery dissolved 22/1/24 and reallocated</text>
  </threadedComment>
  <threadedComment ref="C196" dT="2024-07-29T13:28:00.35" personId="{8CF69D5B-C02A-48B4-83A6-486ADC5B2C9A}" id="{3C0383C8-BBCD-4FD0-A882-F37EAE66A89F}">
    <text>Being combined with St John Chaple in 2025 ish
Stanhope Deanery dissolved 22/1/24 and reallocated</text>
  </threadedComment>
  <threadedComment ref="C201" dT="2024-07-29T13:29:32.87" personId="{8CF69D5B-C02A-48B4-83A6-486ADC5B2C9A}" id="{869EB097-C704-4C33-A8B2-7FC33113794C}">
    <text>Stanhope Deanery dissolved 22/1/24 and reallocated</text>
  </threadedComment>
  <threadedComment ref="C208" dT="2024-07-29T13:29:44.32" personId="{8CF69D5B-C02A-48B4-83A6-486ADC5B2C9A}" id="{5670843A-AD67-416B-8D29-6E119209BC14}">
    <text>Stanhope Deanery dissolved 22/1/24 and reallocated</text>
  </threadedComment>
  <threadedComment ref="C214" dT="2024-07-29T13:28:00.35" personId="{8CF69D5B-C02A-48B4-83A6-486ADC5B2C9A}" id="{D1D0344B-88CD-4F5F-9826-D75DE8AD4FC2}">
    <text>Being combined with St John Chaple in 2025 ish
Stanhope Deanery dissolved 22/1/24 and reallocated</text>
  </threadedComment>
  <threadedComment ref="C215" dT="2024-07-29T13:30:24.16" personId="{8CF69D5B-C02A-48B4-83A6-486ADC5B2C9A}" id="{571AF2BA-65BF-4283-A961-1B003EBB8213}">
    <text>Being combined with Heastherycleugh in 2025 ish
St John-in-Weardale &amp; westgate combined from 18/1/24 &amp; Stanhope Deanery dissolved 22/1/24 and reallocated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opLeftCell="A22" workbookViewId="0">
      <selection sqref="A1:XFD21"/>
    </sheetView>
  </sheetViews>
  <sheetFormatPr defaultColWidth="0" defaultRowHeight="14.4" zeroHeight="1" x14ac:dyDescent="0.3"/>
  <cols>
    <col min="1" max="1" width="39.6640625" customWidth="1"/>
    <col min="2" max="2" width="21.6640625" bestFit="1" customWidth="1"/>
    <col min="3" max="3" width="19.109375" bestFit="1" customWidth="1"/>
    <col min="4" max="4" width="17.33203125" bestFit="1" customWidth="1"/>
    <col min="5" max="5" width="15.77734375" customWidth="1"/>
    <col min="6" max="6" width="10.5546875" customWidth="1"/>
    <col min="7" max="7" width="11.6640625" hidden="1" customWidth="1"/>
    <col min="8" max="8" width="9.5546875" hidden="1" customWidth="1"/>
    <col min="9" max="9" width="29.88671875" hidden="1" customWidth="1"/>
    <col min="10" max="10" width="8.88671875" hidden="1" customWidth="1"/>
    <col min="11" max="11" width="6.5546875" hidden="1" customWidth="1"/>
    <col min="12" max="12" width="10.44140625" hidden="1" customWidth="1"/>
    <col min="13" max="13" width="0" hidden="1" customWidth="1"/>
    <col min="14" max="16384" width="8.88671875" hidden="1"/>
  </cols>
  <sheetData>
    <row r="1" spans="1:13" hidden="1" x14ac:dyDescent="0.3">
      <c r="A1" s="52" t="s">
        <v>252</v>
      </c>
      <c r="I1" s="52"/>
    </row>
    <row r="2" spans="1:13" s="43" customFormat="1" ht="43.2" hidden="1" x14ac:dyDescent="0.3">
      <c r="A2" s="39" t="s">
        <v>0</v>
      </c>
      <c r="B2" s="40" t="s">
        <v>239</v>
      </c>
      <c r="C2" s="40" t="s">
        <v>241</v>
      </c>
      <c r="D2" s="40" t="s">
        <v>242</v>
      </c>
      <c r="E2" s="40" t="s">
        <v>243</v>
      </c>
      <c r="F2" s="40" t="s">
        <v>274</v>
      </c>
      <c r="G2" s="41"/>
      <c r="H2" s="41"/>
      <c r="K2" s="42"/>
      <c r="L2" s="42"/>
      <c r="M2" s="42"/>
    </row>
    <row r="3" spans="1:13" ht="15" hidden="1" thickBot="1" x14ac:dyDescent="0.35">
      <c r="A3" s="24" t="s">
        <v>19</v>
      </c>
      <c r="B3" s="38">
        <f>SUMIF('Diocese Sheet'!$E:$E,$A3,'Diocese Sheet'!BJ:BJ)</f>
        <v>387093</v>
      </c>
      <c r="C3" s="38">
        <f>SUMIF('Diocese Sheet'!$E:$E,$A3,'Diocese Sheet'!BC:BC)</f>
        <v>461483</v>
      </c>
      <c r="D3" s="38">
        <f>SUMIF('Diocese Sheet'!$E:$E,$A3,'Diocese Sheet'!BI:BI)</f>
        <v>397111</v>
      </c>
      <c r="E3" s="38">
        <f>SUMIF('Diocese Sheet'!$E:$E,$A3,'Diocese Sheet'!BB:BB)</f>
        <v>483683.60000000003</v>
      </c>
      <c r="F3" s="38">
        <f>SUMIF('Diocese Sheet'!$E:$E,$A3,'Diocese Sheet'!BH:BH)</f>
        <v>392371</v>
      </c>
      <c r="G3" s="16"/>
      <c r="H3" s="16"/>
      <c r="K3" s="2"/>
      <c r="L3" s="2"/>
      <c r="M3" s="2"/>
    </row>
    <row r="4" spans="1:13" ht="15" hidden="1" thickBot="1" x14ac:dyDescent="0.35">
      <c r="A4" s="24" t="s">
        <v>44</v>
      </c>
      <c r="B4" s="38">
        <f>SUMIF('Diocese Sheet'!$E:$E,$A4,'Diocese Sheet'!BJ:BJ)</f>
        <v>0</v>
      </c>
      <c r="C4" s="38">
        <f>SUMIF('Diocese Sheet'!$E:$E,$A4,'Diocese Sheet'!BC:BC)</f>
        <v>0</v>
      </c>
      <c r="D4" s="38">
        <f>SUMIF('Diocese Sheet'!$E:$E,$A4,'Diocese Sheet'!BI:BI)</f>
        <v>0</v>
      </c>
      <c r="E4" s="38">
        <f>SUMIF('Diocese Sheet'!$E:$E,$A4,'Diocese Sheet'!BB:BB)</f>
        <v>0</v>
      </c>
      <c r="F4" s="38">
        <f>SUMIF('Diocese Sheet'!$E:$E,$A4,'Diocese Sheet'!BH:BH)</f>
        <v>0</v>
      </c>
      <c r="G4" s="16"/>
      <c r="H4" s="16"/>
      <c r="I4" s="9"/>
      <c r="J4" s="10"/>
      <c r="K4" s="2"/>
      <c r="L4" s="2"/>
      <c r="M4" s="2"/>
    </row>
    <row r="5" spans="1:13" ht="15" hidden="1" thickBot="1" x14ac:dyDescent="0.35">
      <c r="A5" s="22" t="s">
        <v>56</v>
      </c>
      <c r="B5" s="38">
        <f>SUMIF('Diocese Sheet'!$E:$E,$A5,'Diocese Sheet'!BJ:BJ)</f>
        <v>0</v>
      </c>
      <c r="C5" s="38">
        <f>SUMIF('Diocese Sheet'!$E:$E,$A5,'Diocese Sheet'!BC:BC)</f>
        <v>0</v>
      </c>
      <c r="D5" s="38">
        <f>SUMIF('Diocese Sheet'!$E:$E,$A5,'Diocese Sheet'!BI:BI)</f>
        <v>0</v>
      </c>
      <c r="E5" s="38">
        <f>SUMIF('Diocese Sheet'!$E:$E,$A5,'Diocese Sheet'!BB:BB)</f>
        <v>0</v>
      </c>
      <c r="F5" s="38">
        <f>SUMIF('Diocese Sheet'!$E:$E,$A5,'Diocese Sheet'!BH:BH)</f>
        <v>0</v>
      </c>
      <c r="G5" s="16"/>
      <c r="H5" s="16"/>
      <c r="I5" s="5" t="s">
        <v>3</v>
      </c>
      <c r="J5" s="6">
        <v>2020</v>
      </c>
      <c r="K5" s="1"/>
      <c r="L5" s="1"/>
      <c r="M5" s="1"/>
    </row>
    <row r="6" spans="1:13" ht="15" hidden="1" thickBot="1" x14ac:dyDescent="0.35">
      <c r="A6" s="22" t="s">
        <v>72</v>
      </c>
      <c r="B6" s="38">
        <f>SUMIF('Diocese Sheet'!$E:$E,$A6,'Diocese Sheet'!BJ:BJ)</f>
        <v>400884</v>
      </c>
      <c r="C6" s="38">
        <f>SUMIF('Diocese Sheet'!$E:$E,$A6,'Diocese Sheet'!BC:BC)</f>
        <v>460007</v>
      </c>
      <c r="D6" s="38">
        <f>SUMIF('Diocese Sheet'!$E:$E,$A6,'Diocese Sheet'!BI:BI)</f>
        <v>402058</v>
      </c>
      <c r="E6" s="38">
        <f>SUMIF('Diocese Sheet'!$E:$E,$A6,'Diocese Sheet'!BB:BB)</f>
        <v>473526.99999999994</v>
      </c>
      <c r="F6" s="38">
        <f>SUMIF('Diocese Sheet'!$E:$E,$A6,'Diocese Sheet'!BH:BH)</f>
        <v>397034</v>
      </c>
      <c r="G6" s="16"/>
      <c r="H6" s="16"/>
      <c r="I6" s="7" t="s">
        <v>5</v>
      </c>
      <c r="J6" s="8">
        <v>2019</v>
      </c>
      <c r="K6" s="1"/>
      <c r="L6" s="1"/>
      <c r="M6" s="1"/>
    </row>
    <row r="7" spans="1:13" ht="15" hidden="1" thickBot="1" x14ac:dyDescent="0.35">
      <c r="A7" s="22" t="s">
        <v>88</v>
      </c>
      <c r="B7" s="38">
        <f>SUMIF('Diocese Sheet'!$E:$E,$A7,'Diocese Sheet'!BJ:BJ)</f>
        <v>616312</v>
      </c>
      <c r="C7" s="38">
        <f>SUMIF('Diocese Sheet'!$E:$E,$A7,'Diocese Sheet'!BC:BC)</f>
        <v>717937</v>
      </c>
      <c r="D7" s="38">
        <f>SUMIF('Diocese Sheet'!$E:$E,$A7,'Diocese Sheet'!BI:BI)</f>
        <v>612551</v>
      </c>
      <c r="E7" s="38">
        <f>SUMIF('Diocese Sheet'!$E:$E,$A7,'Diocese Sheet'!BB:BB)</f>
        <v>746366.95000000007</v>
      </c>
      <c r="F7" s="38">
        <f>SUMIF('Diocese Sheet'!$E:$E,$A7,'Diocese Sheet'!BH:BH)</f>
        <v>595929</v>
      </c>
      <c r="G7" s="16"/>
      <c r="H7" s="16"/>
      <c r="I7" s="5" t="s">
        <v>6</v>
      </c>
      <c r="J7" s="6">
        <v>2011</v>
      </c>
      <c r="K7" s="1"/>
      <c r="L7" s="1"/>
      <c r="M7" s="1"/>
    </row>
    <row r="8" spans="1:13" ht="15" hidden="1" thickBot="1" x14ac:dyDescent="0.35">
      <c r="A8" s="22" t="s">
        <v>112</v>
      </c>
      <c r="B8" s="38">
        <f>SUMIF('Diocese Sheet'!$E:$E,$A8,'Diocese Sheet'!BJ:BJ)</f>
        <v>221206.2</v>
      </c>
      <c r="C8" s="38">
        <f>SUMIF('Diocese Sheet'!$E:$E,$A8,'Diocese Sheet'!BC:BC)</f>
        <v>283202</v>
      </c>
      <c r="D8" s="38">
        <f>SUMIF('Diocese Sheet'!$E:$E,$A8,'Diocese Sheet'!BI:BI)</f>
        <v>224691</v>
      </c>
      <c r="E8" s="38">
        <f>SUMIF('Diocese Sheet'!$E:$E,$A8,'Diocese Sheet'!BB:BB)</f>
        <v>297989.17900184728</v>
      </c>
      <c r="F8" s="38">
        <f>SUMIF('Diocese Sheet'!$E:$E,$A8,'Diocese Sheet'!BH:BH)</f>
        <v>222801</v>
      </c>
      <c r="G8" s="16"/>
      <c r="H8" s="16"/>
      <c r="I8" s="5" t="s">
        <v>7</v>
      </c>
      <c r="J8" s="6">
        <v>2020</v>
      </c>
      <c r="K8" s="1"/>
      <c r="L8" s="1"/>
      <c r="M8" s="1"/>
    </row>
    <row r="9" spans="1:13" ht="15" hidden="1" thickBot="1" x14ac:dyDescent="0.35">
      <c r="A9" s="22" t="s">
        <v>124</v>
      </c>
      <c r="B9" s="38">
        <f>SUMIF('Diocese Sheet'!$E:$E,$A9,'Diocese Sheet'!BJ:BJ)</f>
        <v>202116</v>
      </c>
      <c r="C9" s="38">
        <f>SUMIF('Diocese Sheet'!$E:$E,$A9,'Diocese Sheet'!BC:BC)</f>
        <v>275127</v>
      </c>
      <c r="D9" s="38">
        <f>SUMIF('Diocese Sheet'!$E:$E,$A9,'Diocese Sheet'!BI:BI)</f>
        <v>185970</v>
      </c>
      <c r="E9" s="38">
        <f>SUMIF('Diocese Sheet'!$E:$E,$A9,'Diocese Sheet'!BB:BB)</f>
        <v>269413.65000000002</v>
      </c>
      <c r="F9" s="38">
        <f>SUMIF('Diocese Sheet'!$E:$E,$A9,'Diocese Sheet'!BH:BH)</f>
        <v>187024</v>
      </c>
      <c r="G9" s="16"/>
      <c r="H9" s="16"/>
      <c r="I9" s="11" t="s">
        <v>8</v>
      </c>
      <c r="J9" s="12">
        <v>2020</v>
      </c>
      <c r="K9" s="1"/>
      <c r="L9" s="1"/>
      <c r="M9" s="1"/>
    </row>
    <row r="10" spans="1:13" hidden="1" x14ac:dyDescent="0.3">
      <c r="A10" s="22" t="s">
        <v>136</v>
      </c>
      <c r="B10" s="38">
        <f>SUMIF('Diocese Sheet'!$E:$E,$A10,'Diocese Sheet'!BJ:BJ)</f>
        <v>0</v>
      </c>
      <c r="C10" s="38">
        <f>SUMIF('Diocese Sheet'!$E:$E,$A10,'Diocese Sheet'!BC:BC)</f>
        <v>0</v>
      </c>
      <c r="D10" s="38">
        <f>SUMIF('Diocese Sheet'!$E:$E,$A10,'Diocese Sheet'!BI:BI)</f>
        <v>0</v>
      </c>
      <c r="E10" s="38">
        <f>SUMIF('Diocese Sheet'!$E:$E,$A10,'Diocese Sheet'!BB:BB)</f>
        <v>0</v>
      </c>
      <c r="F10" s="38">
        <f>SUMIF('Diocese Sheet'!$E:$E,$A10,'Diocese Sheet'!BH:BH)</f>
        <v>0</v>
      </c>
      <c r="G10" s="16"/>
      <c r="H10" s="16"/>
      <c r="I10" s="18"/>
      <c r="J10" s="18"/>
      <c r="K10" s="1"/>
      <c r="L10" s="1"/>
      <c r="M10" s="1"/>
    </row>
    <row r="11" spans="1:13" hidden="1" x14ac:dyDescent="0.3">
      <c r="A11" s="22" t="s">
        <v>145</v>
      </c>
      <c r="B11" s="38">
        <f>SUMIF('Diocese Sheet'!$E:$E,$A11,'Diocese Sheet'!BJ:BJ)</f>
        <v>226201</v>
      </c>
      <c r="C11" s="38">
        <f>SUMIF('Diocese Sheet'!$E:$E,$A11,'Diocese Sheet'!BC:BC)</f>
        <v>267953</v>
      </c>
      <c r="D11" s="38">
        <f>SUMIF('Diocese Sheet'!$E:$E,$A11,'Diocese Sheet'!BI:BI)</f>
        <v>221955</v>
      </c>
      <c r="E11" s="38">
        <f>SUMIF('Diocese Sheet'!$E:$E,$A11,'Diocese Sheet'!BB:BB)</f>
        <v>286781.34999999998</v>
      </c>
      <c r="F11" s="38">
        <f>SUMIF('Diocese Sheet'!$E:$E,$A11,'Diocese Sheet'!BH:BH)</f>
        <v>235422</v>
      </c>
      <c r="G11" s="16"/>
      <c r="H11" s="16"/>
      <c r="I11" s="18"/>
      <c r="J11" s="18"/>
      <c r="K11" s="1"/>
      <c r="L11" s="1"/>
      <c r="M11" s="1"/>
    </row>
    <row r="12" spans="1:13" hidden="1" x14ac:dyDescent="0.3">
      <c r="A12" s="22" t="s">
        <v>158</v>
      </c>
      <c r="B12" s="38">
        <f>SUMIF('Diocese Sheet'!$E:$E,$A12,'Diocese Sheet'!BJ:BJ)</f>
        <v>331298</v>
      </c>
      <c r="C12" s="38">
        <f>SUMIF('Diocese Sheet'!$E:$E,$A12,'Diocese Sheet'!BC:BC)</f>
        <v>414180</v>
      </c>
      <c r="D12" s="38">
        <f>SUMIF('Diocese Sheet'!$E:$E,$A12,'Diocese Sheet'!BI:BI)</f>
        <v>327131</v>
      </c>
      <c r="E12" s="38">
        <f>SUMIF('Diocese Sheet'!$E:$E,$A12,'Diocese Sheet'!BB:BB)</f>
        <v>422447.71231966704</v>
      </c>
      <c r="F12" s="38">
        <f>SUMIF('Diocese Sheet'!$E:$E,$A12,'Diocese Sheet'!BH:BH)</f>
        <v>318047</v>
      </c>
      <c r="G12" s="16"/>
      <c r="H12" s="16"/>
      <c r="I12" s="18"/>
      <c r="J12" s="18"/>
      <c r="K12" s="1"/>
      <c r="L12" s="1"/>
      <c r="M12" s="1"/>
    </row>
    <row r="13" spans="1:13" hidden="1" x14ac:dyDescent="0.3">
      <c r="A13" s="22" t="s">
        <v>176</v>
      </c>
      <c r="B13" s="38">
        <f>SUMIF('Diocese Sheet'!$E:$E,$A13,'Diocese Sheet'!BJ:BJ)</f>
        <v>310119</v>
      </c>
      <c r="C13" s="38">
        <f>SUMIF('Diocese Sheet'!$E:$E,$A13,'Diocese Sheet'!BC:BC)</f>
        <v>324933</v>
      </c>
      <c r="D13" s="38">
        <f>SUMIF('Diocese Sheet'!$E:$E,$A13,'Diocese Sheet'!BI:BI)</f>
        <v>290537</v>
      </c>
      <c r="E13" s="38">
        <f>SUMIF('Diocese Sheet'!$E:$E,$A13,'Diocese Sheet'!BB:BB)</f>
        <v>328721.10000000003</v>
      </c>
      <c r="F13" s="38">
        <f>SUMIF('Diocese Sheet'!$E:$E,$A13,'Diocese Sheet'!BH:BH)</f>
        <v>270441</v>
      </c>
      <c r="G13" s="16"/>
      <c r="H13" s="16"/>
      <c r="I13" s="18"/>
      <c r="J13" s="18"/>
      <c r="K13" s="1"/>
      <c r="L13" s="1"/>
      <c r="M13" s="1"/>
    </row>
    <row r="14" spans="1:13" hidden="1" x14ac:dyDescent="0.3">
      <c r="A14" s="22" t="s">
        <v>188</v>
      </c>
      <c r="B14" s="38">
        <f>SUMIF('Diocese Sheet'!$E:$E,$A14,'Diocese Sheet'!BJ:BJ)</f>
        <v>0</v>
      </c>
      <c r="C14" s="38">
        <f>SUMIF('Diocese Sheet'!$E:$E,$A14,'Diocese Sheet'!BC:BC)</f>
        <v>0</v>
      </c>
      <c r="D14" s="38">
        <f>SUMIF('Diocese Sheet'!$E:$E,$A14,'Diocese Sheet'!BI:BI)</f>
        <v>0</v>
      </c>
      <c r="E14" s="38">
        <f>SUMIF('Diocese Sheet'!$E:$E,$A14,'Diocese Sheet'!BB:BB)</f>
        <v>0</v>
      </c>
      <c r="F14" s="38">
        <f>SUMIF('Diocese Sheet'!$E:$E,$A14,'Diocese Sheet'!BH:BH)</f>
        <v>0</v>
      </c>
      <c r="G14" s="16"/>
      <c r="H14" s="16"/>
      <c r="I14" s="18"/>
      <c r="J14" s="18"/>
      <c r="K14" s="1"/>
      <c r="L14" s="1"/>
      <c r="M14" s="1"/>
    </row>
    <row r="15" spans="1:13" hidden="1" x14ac:dyDescent="0.3">
      <c r="A15" s="22" t="s">
        <v>197</v>
      </c>
      <c r="B15" s="38">
        <f>SUMIF('Diocese Sheet'!$E:$E,$A15,'Diocese Sheet'!BJ:BJ)</f>
        <v>603924</v>
      </c>
      <c r="C15" s="38">
        <f>SUMIF('Diocese Sheet'!$E:$E,$A15,'Diocese Sheet'!BC:BC)</f>
        <v>702192</v>
      </c>
      <c r="D15" s="38">
        <f>SUMIF('Diocese Sheet'!$E:$E,$A15,'Diocese Sheet'!BI:BI)</f>
        <v>627654</v>
      </c>
      <c r="E15" s="38">
        <f>SUMIF('Diocese Sheet'!$E:$E,$A15,'Diocese Sheet'!BB:BB)</f>
        <v>721742.64148573682</v>
      </c>
      <c r="F15" s="38">
        <f>SUMIF('Diocese Sheet'!$E:$E,$A15,'Diocese Sheet'!BH:BH)</f>
        <v>580660</v>
      </c>
      <c r="G15" s="16"/>
      <c r="H15" s="16"/>
      <c r="I15" s="18"/>
      <c r="J15" s="18"/>
      <c r="K15" s="1"/>
      <c r="L15" s="1"/>
      <c r="M15" s="1"/>
    </row>
    <row r="16" spans="1:13" hidden="1" x14ac:dyDescent="0.3">
      <c r="A16" s="22" t="s">
        <v>212</v>
      </c>
      <c r="B16" s="38">
        <f>SUMIF('Diocese Sheet'!$E:$E,$A16,'Diocese Sheet'!BJ:BJ)</f>
        <v>0</v>
      </c>
      <c r="C16" s="38">
        <f>SUMIF('Diocese Sheet'!$E:$E,$A16,'Diocese Sheet'!BC:BC)</f>
        <v>0</v>
      </c>
      <c r="D16" s="38">
        <f>SUMIF('Diocese Sheet'!$E:$E,$A16,'Diocese Sheet'!BI:BI)</f>
        <v>0</v>
      </c>
      <c r="E16" s="38">
        <f>SUMIF('Diocese Sheet'!$E:$E,$A16,'Diocese Sheet'!BB:BB)</f>
        <v>0</v>
      </c>
      <c r="F16" s="38">
        <f>SUMIF('Diocese Sheet'!$E:$E,$A16,'Diocese Sheet'!BH:BH)</f>
        <v>0</v>
      </c>
      <c r="G16" s="16"/>
      <c r="H16" s="16"/>
      <c r="I16" s="18"/>
      <c r="J16" s="18"/>
      <c r="K16" s="1"/>
      <c r="L16" s="1"/>
      <c r="M16" s="1"/>
    </row>
    <row r="17" spans="1:13" hidden="1" x14ac:dyDescent="0.3">
      <c r="A17" s="22" t="s">
        <v>213</v>
      </c>
      <c r="B17" s="38">
        <f>SUMIF('Diocese Sheet'!$E:$E,$A17,'Diocese Sheet'!BJ:BJ)</f>
        <v>276000</v>
      </c>
      <c r="C17" s="38">
        <f>SUMIF('Diocese Sheet'!$E:$E,$A17,'Diocese Sheet'!BC:BC)</f>
        <v>453487</v>
      </c>
      <c r="D17" s="38">
        <f>SUMIF('Diocese Sheet'!$E:$E,$A17,'Diocese Sheet'!BI:BI)</f>
        <v>239376</v>
      </c>
      <c r="E17" s="38">
        <f>SUMIF('Diocese Sheet'!$E:$E,$A17,'Diocese Sheet'!BB:BB)</f>
        <v>415553.15</v>
      </c>
      <c r="F17" s="38">
        <f>SUMIF('Diocese Sheet'!$E:$E,$A17,'Diocese Sheet'!BH:BH)</f>
        <v>274498</v>
      </c>
      <c r="G17" s="16"/>
      <c r="H17" s="16"/>
      <c r="I17" s="18"/>
      <c r="J17" s="18"/>
      <c r="K17" s="1"/>
      <c r="L17" s="1"/>
      <c r="M17" s="1"/>
    </row>
    <row r="18" spans="1:13" hidden="1" x14ac:dyDescent="0.3">
      <c r="A18" s="23" t="s">
        <v>1</v>
      </c>
      <c r="B18" s="44">
        <f>SUM(B3:B17)</f>
        <v>3575153.2</v>
      </c>
      <c r="C18" s="44">
        <f>SUM(C3:C17)</f>
        <v>4360501</v>
      </c>
      <c r="D18" s="44">
        <f>SUM(D3:D17)</f>
        <v>3529034</v>
      </c>
      <c r="E18" s="44">
        <f>SUM(E3:E17)</f>
        <v>4446226.3328072513</v>
      </c>
      <c r="F18" s="44">
        <f>SUM(F3:F17)</f>
        <v>3474227</v>
      </c>
      <c r="G18" s="19"/>
      <c r="H18" s="19"/>
      <c r="I18" s="19"/>
      <c r="J18" s="19"/>
      <c r="K18" s="2"/>
      <c r="L18" s="2"/>
      <c r="M18" s="2"/>
    </row>
    <row r="19" spans="1:13" hidden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 thickBot="1" x14ac:dyDescent="0.35">
      <c r="A20" s="3" t="s">
        <v>2</v>
      </c>
      <c r="B20" s="4">
        <v>0.65</v>
      </c>
      <c r="E20" s="1"/>
      <c r="F20" s="2"/>
      <c r="G20" s="1"/>
      <c r="H20" s="1"/>
      <c r="I20" s="1"/>
      <c r="J20" s="1"/>
      <c r="K20" s="1"/>
      <c r="L20" s="1"/>
      <c r="M20" s="1"/>
    </row>
    <row r="21" spans="1:13" hidden="1" x14ac:dyDescent="0.3">
      <c r="E21" s="1"/>
      <c r="F21" s="1"/>
      <c r="G21" s="15"/>
      <c r="H21" s="1"/>
      <c r="I21" s="1"/>
      <c r="J21" s="1"/>
      <c r="K21" s="1"/>
      <c r="L21" s="1"/>
      <c r="M21" s="1"/>
    </row>
    <row r="22" spans="1:13" x14ac:dyDescent="0.3">
      <c r="A22" s="52" t="s">
        <v>253</v>
      </c>
      <c r="E22" s="1"/>
      <c r="F22" s="1"/>
      <c r="G22" s="17"/>
      <c r="H22" s="1"/>
      <c r="I22" s="1"/>
      <c r="J22" s="1"/>
      <c r="K22" s="1"/>
      <c r="L22" s="1"/>
      <c r="M22" s="1"/>
    </row>
    <row r="23" spans="1:13" x14ac:dyDescent="0.3">
      <c r="A23" s="2" t="s">
        <v>245</v>
      </c>
      <c r="B23" s="67">
        <v>6039902.3699941067</v>
      </c>
      <c r="E23" s="1"/>
      <c r="F23" s="1"/>
      <c r="G23" s="17"/>
      <c r="H23" s="1"/>
      <c r="I23" s="1"/>
      <c r="J23" s="1"/>
      <c r="K23" s="1"/>
      <c r="L23" s="1"/>
      <c r="M23" s="1"/>
    </row>
    <row r="24" spans="1:13" x14ac:dyDescent="0.3">
      <c r="A24" s="2" t="s">
        <v>4</v>
      </c>
      <c r="B24" s="68">
        <v>0.05</v>
      </c>
      <c r="E24" s="1"/>
      <c r="F24" s="1"/>
      <c r="G24" s="17"/>
      <c r="H24" s="1"/>
      <c r="I24" s="1"/>
      <c r="J24" s="1"/>
      <c r="K24" s="1"/>
      <c r="L24" s="1"/>
      <c r="M24" s="1"/>
    </row>
    <row r="25" spans="1:13" x14ac:dyDescent="0.3">
      <c r="A25" s="2"/>
      <c r="B25" s="68"/>
      <c r="E25" s="1"/>
      <c r="F25" s="1"/>
      <c r="G25" s="17"/>
      <c r="H25" s="1"/>
      <c r="I25" s="1"/>
      <c r="J25" s="1"/>
      <c r="K25" s="1"/>
      <c r="L25" s="1"/>
      <c r="M25" s="1"/>
    </row>
    <row r="26" spans="1:13" x14ac:dyDescent="0.3">
      <c r="A26" s="2" t="s">
        <v>251</v>
      </c>
      <c r="B26" s="53" t="s">
        <v>250</v>
      </c>
      <c r="C26" s="54" t="s">
        <v>246</v>
      </c>
      <c r="D26" s="52" t="s">
        <v>248</v>
      </c>
      <c r="E26" s="52" t="s">
        <v>256</v>
      </c>
      <c r="H26" s="1"/>
      <c r="I26" s="1"/>
      <c r="J26" s="1"/>
      <c r="K26" s="1"/>
      <c r="L26" s="1"/>
      <c r="M26" s="1"/>
    </row>
    <row r="27" spans="1:13" x14ac:dyDescent="0.3">
      <c r="A27" s="1" t="s">
        <v>247</v>
      </c>
      <c r="B27" s="55">
        <v>0.15</v>
      </c>
      <c r="C27" s="56">
        <f>+$C$40*B27</f>
        <v>905985.35549911601</v>
      </c>
      <c r="D27" s="56">
        <f>+'Diocese Sheet'!AC211</f>
        <v>9983611.7000000011</v>
      </c>
      <c r="E27" s="65">
        <f>+C27/D27</f>
        <v>9.0747254873616123E-2</v>
      </c>
      <c r="H27" s="1"/>
      <c r="I27" s="51"/>
      <c r="J27" s="1"/>
      <c r="K27" s="1"/>
      <c r="L27" s="1"/>
      <c r="M27" s="1"/>
    </row>
    <row r="28" spans="1:13" x14ac:dyDescent="0.3">
      <c r="A28" s="1" t="s">
        <v>249</v>
      </c>
      <c r="B28" s="55">
        <v>0.1</v>
      </c>
      <c r="C28" s="56">
        <f>+$C$40*B28</f>
        <v>603990.23699941067</v>
      </c>
      <c r="D28" s="56">
        <f>+'Diocese Sheet'!AD211</f>
        <v>8990330.7140000034</v>
      </c>
      <c r="E28" s="65">
        <f>+C28/D28</f>
        <v>6.7182204549923796E-2</v>
      </c>
      <c r="H28" s="1"/>
      <c r="I28" s="51"/>
      <c r="J28" s="1"/>
      <c r="K28" s="1"/>
      <c r="L28" s="1"/>
      <c r="M28" s="1"/>
    </row>
    <row r="29" spans="1:13" ht="15" thickBot="1" x14ac:dyDescent="0.35">
      <c r="A29" s="57"/>
      <c r="B29" s="55"/>
      <c r="C29" s="60">
        <f>SUM(C27:C28)</f>
        <v>1509975.5924985267</v>
      </c>
      <c r="D29" s="60">
        <f>SUM(D27:D28)</f>
        <v>18973942.414000005</v>
      </c>
      <c r="E29" s="65"/>
      <c r="H29" s="1"/>
      <c r="I29" s="51"/>
      <c r="J29" s="1"/>
      <c r="K29" s="1"/>
      <c r="L29" s="1"/>
      <c r="M29" s="1"/>
    </row>
    <row r="30" spans="1:13" ht="15" thickTop="1" x14ac:dyDescent="0.3">
      <c r="A30" s="2" t="s">
        <v>9</v>
      </c>
      <c r="B30" s="58"/>
      <c r="C30" s="1"/>
      <c r="E30" s="66"/>
      <c r="H30" s="1"/>
      <c r="I30" s="1"/>
      <c r="J30" s="1"/>
      <c r="K30" s="1"/>
      <c r="L30" s="1"/>
      <c r="M30" s="1"/>
    </row>
    <row r="31" spans="1:13" ht="15" thickBot="1" x14ac:dyDescent="0.35">
      <c r="A31" s="1" t="s">
        <v>10</v>
      </c>
      <c r="B31" s="55">
        <v>0.25</v>
      </c>
      <c r="C31" s="60">
        <f>+$C$40*B31</f>
        <v>1509975.5924985267</v>
      </c>
      <c r="D31" s="64">
        <f>+'Diocese Sheet'!AG211</f>
        <v>115.26666666676668</v>
      </c>
      <c r="E31" s="65">
        <f>+C31/D31</f>
        <v>13099.846088755494</v>
      </c>
      <c r="H31" s="1"/>
      <c r="I31" s="1"/>
      <c r="J31" s="1"/>
      <c r="K31" s="1"/>
      <c r="L31" s="1"/>
      <c r="M31" s="1"/>
    </row>
    <row r="32" spans="1:13" ht="15" thickTop="1" x14ac:dyDescent="0.3">
      <c r="A32" s="1"/>
      <c r="B32" s="55"/>
      <c r="C32" s="56"/>
      <c r="E32" s="66"/>
      <c r="H32" s="1"/>
      <c r="I32" s="1"/>
      <c r="J32" s="1"/>
      <c r="K32" s="1"/>
      <c r="L32" s="1"/>
      <c r="M32" s="1"/>
    </row>
    <row r="33" spans="1:13" x14ac:dyDescent="0.3">
      <c r="A33" s="2" t="s">
        <v>11</v>
      </c>
      <c r="B33" s="58"/>
      <c r="C33" s="1"/>
      <c r="E33" s="66"/>
      <c r="H33" s="1"/>
      <c r="I33" s="1"/>
      <c r="J33" s="1"/>
      <c r="K33" s="1"/>
      <c r="L33" s="1"/>
      <c r="M33" s="1"/>
    </row>
    <row r="34" spans="1:13" x14ac:dyDescent="0.3">
      <c r="A34" s="1" t="s">
        <v>12</v>
      </c>
      <c r="B34" s="55">
        <v>0.25</v>
      </c>
      <c r="C34" s="56">
        <f>+$C$40*B34</f>
        <v>1509975.5924985267</v>
      </c>
      <c r="D34">
        <f>+'Diocese Sheet'!AJ211</f>
        <v>721658</v>
      </c>
      <c r="E34" s="65">
        <f>+C34/D34</f>
        <v>2.0923700596383976</v>
      </c>
      <c r="H34" s="1"/>
      <c r="I34" s="1"/>
      <c r="J34" s="1"/>
      <c r="K34" s="1"/>
      <c r="L34" s="1"/>
      <c r="M34" s="1"/>
    </row>
    <row r="35" spans="1:13" x14ac:dyDescent="0.3">
      <c r="A35" s="1"/>
      <c r="B35" s="55"/>
      <c r="C35" s="56"/>
      <c r="E35" s="65"/>
      <c r="H35" s="1"/>
      <c r="I35" s="1"/>
      <c r="J35" s="1"/>
      <c r="K35" s="1"/>
      <c r="L35" s="1"/>
      <c r="M35" s="1"/>
    </row>
    <row r="36" spans="1:13" x14ac:dyDescent="0.3">
      <c r="A36" s="2" t="s">
        <v>13</v>
      </c>
      <c r="B36" s="58"/>
      <c r="C36" s="1"/>
      <c r="E36" s="66"/>
      <c r="H36" s="1"/>
      <c r="I36" s="1"/>
      <c r="J36" s="1"/>
      <c r="K36" s="1"/>
      <c r="L36" s="1"/>
      <c r="M36" s="1"/>
    </row>
    <row r="37" spans="1:13" x14ac:dyDescent="0.3">
      <c r="A37" s="1" t="s">
        <v>14</v>
      </c>
      <c r="B37" s="55">
        <v>0.15</v>
      </c>
      <c r="C37" s="56">
        <f>+$C$40*B37</f>
        <v>905985.35549911601</v>
      </c>
      <c r="D37" s="63">
        <f>+'Diocese Sheet'!AN211</f>
        <v>7293</v>
      </c>
      <c r="E37" s="65">
        <f>+C37/D37</f>
        <v>124.22670444249499</v>
      </c>
      <c r="H37" s="1"/>
      <c r="I37" s="1"/>
      <c r="J37" s="1"/>
      <c r="K37" s="1"/>
      <c r="L37" s="1"/>
      <c r="M37" s="1"/>
    </row>
    <row r="38" spans="1:13" x14ac:dyDescent="0.3">
      <c r="A38" s="1" t="s">
        <v>15</v>
      </c>
      <c r="B38" s="55">
        <v>0.05</v>
      </c>
      <c r="C38" s="56">
        <f>+$C$40*B38</f>
        <v>301995.11849970534</v>
      </c>
      <c r="D38" s="63">
        <f>+'Diocese Sheet'!AP211</f>
        <v>12879</v>
      </c>
      <c r="E38" s="65">
        <f>+C38/D38</f>
        <v>23.448646517563891</v>
      </c>
      <c r="H38" s="1"/>
      <c r="I38" s="1"/>
      <c r="J38" s="1"/>
      <c r="K38" s="1"/>
      <c r="L38" s="1"/>
      <c r="M38" s="1"/>
    </row>
    <row r="39" spans="1:13" x14ac:dyDescent="0.3">
      <c r="A39" s="1" t="s">
        <v>16</v>
      </c>
      <c r="B39" s="55">
        <v>0.05</v>
      </c>
      <c r="C39" s="56">
        <f>+$C$40*B39</f>
        <v>301995.11849970534</v>
      </c>
      <c r="D39" s="63">
        <f>+'Diocese Sheet'!AR211</f>
        <v>1478913</v>
      </c>
      <c r="E39" s="65">
        <f>+C39/D39</f>
        <v>0.20420073290295326</v>
      </c>
      <c r="H39" s="1"/>
      <c r="I39" s="1"/>
      <c r="J39" s="1"/>
      <c r="K39" s="1"/>
      <c r="L39" s="1"/>
      <c r="M39" s="1"/>
    </row>
    <row r="40" spans="1:13" ht="15" thickBot="1" x14ac:dyDescent="0.35">
      <c r="A40" s="59" t="s">
        <v>244</v>
      </c>
      <c r="B40" s="61">
        <v>1</v>
      </c>
      <c r="C40" s="62">
        <f>+B23</f>
        <v>6039902.3699941067</v>
      </c>
      <c r="H40" s="1"/>
      <c r="I40" s="1"/>
      <c r="J40" s="1"/>
      <c r="K40" s="1"/>
      <c r="L40" s="1"/>
      <c r="M40" s="1"/>
    </row>
    <row r="41" spans="1:13" ht="15" thickTop="1" x14ac:dyDescent="0.3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idden="1" x14ac:dyDescent="0.3">
      <c r="A42" s="1"/>
      <c r="B42" s="1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idden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idden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idden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idden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idden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idden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idden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idden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idden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idden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idden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idden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idden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16"/>
  <sheetViews>
    <sheetView tabSelected="1" topLeftCell="C1" zoomScale="92" zoomScaleNormal="92" zoomScaleSheetLayoutView="100" workbookViewId="0">
      <pane xSplit="5" ySplit="2" topLeftCell="H141" activePane="bottomRight" state="frozen"/>
      <selection activeCell="C1" sqref="C1"/>
      <selection pane="topRight" activeCell="H1" sqref="H1"/>
      <selection pane="bottomLeft" activeCell="C3" sqref="C3"/>
      <selection pane="bottomRight" activeCell="E142" sqref="E142"/>
    </sheetView>
  </sheetViews>
  <sheetFormatPr defaultColWidth="0" defaultRowHeight="14.4" zeroHeight="1" x14ac:dyDescent="0.3"/>
  <cols>
    <col min="1" max="1" width="51.6640625" style="27" hidden="1" customWidth="1"/>
    <col min="2" max="2" width="13.33203125" style="27" hidden="1" customWidth="1"/>
    <col min="3" max="3" width="27.21875" style="31" customWidth="1"/>
    <col min="4" max="4" width="13.33203125" style="27" bestFit="1" customWidth="1"/>
    <col min="5" max="5" width="26.77734375" style="27" bestFit="1" customWidth="1"/>
    <col min="6" max="6" width="1.5546875" style="25" customWidth="1"/>
    <col min="7" max="7" width="11.88671875" style="25" customWidth="1"/>
    <col min="8" max="8" width="1.5546875" style="25" customWidth="1"/>
    <col min="9" max="9" width="13.44140625" style="25" customWidth="1"/>
    <col min="10" max="10" width="15.77734375" style="32" bestFit="1" customWidth="1"/>
    <col min="11" max="11" width="11.33203125" style="32" customWidth="1"/>
    <col min="12" max="13" width="11.33203125" style="25" hidden="1" customWidth="1"/>
    <col min="14" max="14" width="11.5546875" style="32" bestFit="1" customWidth="1"/>
    <col min="15" max="16" width="10.77734375" style="32" bestFit="1" customWidth="1"/>
    <col min="17" max="18" width="9.6640625" style="32" bestFit="1" customWidth="1"/>
    <col min="19" max="19" width="1.44140625" style="32" customWidth="1"/>
    <col min="20" max="20" width="10.77734375" style="32" bestFit="1" customWidth="1"/>
    <col min="21" max="22" width="11.109375" style="32" customWidth="1"/>
    <col min="23" max="23" width="11.5546875" style="32" hidden="1" customWidth="1"/>
    <col min="24" max="24" width="10.77734375" style="32" bestFit="1" customWidth="1"/>
    <col min="25" max="25" width="10.6640625" style="32" customWidth="1"/>
    <col min="26" max="26" width="11.33203125" style="32" customWidth="1"/>
    <col min="27" max="27" width="14.109375" style="32" hidden="1" customWidth="1"/>
    <col min="28" max="28" width="2" style="32" customWidth="1"/>
    <col min="29" max="29" width="13.77734375" style="72" bestFit="1" customWidth="1"/>
    <col min="30" max="30" width="10.5546875" style="45" customWidth="1"/>
    <col min="31" max="31" width="12.5546875" style="45" bestFit="1" customWidth="1"/>
    <col min="32" max="32" width="1.5546875" style="27" customWidth="1"/>
    <col min="33" max="33" width="7.88671875" style="27" customWidth="1"/>
    <col min="34" max="34" width="12.5546875" style="27" bestFit="1" customWidth="1"/>
    <col min="35" max="35" width="1.88671875" style="27" customWidth="1"/>
    <col min="36" max="37" width="13.5546875" style="27" customWidth="1"/>
    <col min="38" max="38" width="2" style="27" customWidth="1"/>
    <col min="39" max="42" width="7.88671875" style="30" customWidth="1"/>
    <col min="43" max="43" width="15" style="27" bestFit="1" customWidth="1"/>
    <col min="44" max="44" width="15.5546875" style="27" bestFit="1" customWidth="1"/>
    <col min="45" max="45" width="12.5546875" style="27" bestFit="1" customWidth="1"/>
    <col min="46" max="46" width="2.21875" style="27" customWidth="1"/>
    <col min="47" max="48" width="11.109375" style="27" customWidth="1"/>
    <col min="49" max="49" width="11.109375" style="45" customWidth="1"/>
    <col min="50" max="50" width="11.109375" style="27" customWidth="1"/>
    <col min="51" max="51" width="2" style="27" hidden="1" customWidth="1"/>
    <col min="52" max="52" width="2.44140625" style="45" customWidth="1"/>
    <col min="53" max="53" width="14" style="27" customWidth="1"/>
    <col min="54" max="54" width="11.44140625" style="45" bestFit="1" customWidth="1"/>
    <col min="55" max="57" width="11.44140625" style="70" bestFit="1" customWidth="1"/>
    <col min="58" max="58" width="2" style="27" customWidth="1"/>
    <col min="59" max="59" width="11.5546875" style="27" bestFit="1" customWidth="1"/>
    <col min="60" max="61" width="11.33203125" style="27" customWidth="1"/>
    <col min="62" max="62" width="11.88671875" style="27" bestFit="1" customWidth="1"/>
    <col min="63" max="63" width="11.88671875" style="45" bestFit="1" customWidth="1"/>
    <col min="64" max="65" width="11.88671875" style="45" hidden="1" customWidth="1"/>
    <col min="66" max="16384" width="9.109375" style="27" hidden="1"/>
  </cols>
  <sheetData>
    <row r="1" spans="1:65" ht="18" x14ac:dyDescent="0.35">
      <c r="I1" s="229" t="s">
        <v>497</v>
      </c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C1" s="230" t="s">
        <v>498</v>
      </c>
      <c r="AD1" s="230"/>
      <c r="AE1" s="230"/>
      <c r="AG1" s="228" t="s">
        <v>499</v>
      </c>
      <c r="AH1" s="228"/>
      <c r="AJ1" s="231" t="s">
        <v>500</v>
      </c>
      <c r="AK1" s="231"/>
      <c r="AM1" s="228" t="s">
        <v>504</v>
      </c>
      <c r="AN1" s="228"/>
      <c r="AO1" s="228"/>
      <c r="AP1" s="228"/>
      <c r="AQ1" s="228"/>
      <c r="AR1" s="228"/>
      <c r="AS1" s="228"/>
      <c r="AU1" s="228" t="s">
        <v>507</v>
      </c>
      <c r="AV1" s="228"/>
      <c r="AW1" s="228"/>
      <c r="AX1" s="228"/>
      <c r="BA1" s="228" t="s">
        <v>512</v>
      </c>
      <c r="BB1" s="228"/>
      <c r="BC1" s="228"/>
      <c r="BD1" s="228"/>
      <c r="BE1" s="228"/>
      <c r="BG1" s="228" t="s">
        <v>509</v>
      </c>
      <c r="BH1" s="228"/>
      <c r="BI1" s="228"/>
      <c r="BJ1" s="228"/>
      <c r="BK1" s="228"/>
    </row>
    <row r="2" spans="1:65" s="170" customFormat="1" ht="214.8" x14ac:dyDescent="0.3">
      <c r="A2" s="161" t="s">
        <v>275</v>
      </c>
      <c r="B2" s="161" t="s">
        <v>276</v>
      </c>
      <c r="C2" s="172" t="s">
        <v>42</v>
      </c>
      <c r="D2" s="162" t="s">
        <v>41</v>
      </c>
      <c r="E2" s="172" t="s">
        <v>40</v>
      </c>
      <c r="F2" s="167"/>
      <c r="G2" s="180" t="s">
        <v>286</v>
      </c>
      <c r="H2" s="181"/>
      <c r="I2" s="182" t="s">
        <v>485</v>
      </c>
      <c r="J2" s="183" t="s">
        <v>486</v>
      </c>
      <c r="K2" s="182" t="s">
        <v>487</v>
      </c>
      <c r="L2" s="164" t="s">
        <v>234</v>
      </c>
      <c r="M2" s="164" t="s">
        <v>266</v>
      </c>
      <c r="N2" s="183" t="s">
        <v>488</v>
      </c>
      <c r="O2" s="182" t="s">
        <v>489</v>
      </c>
      <c r="P2" s="183" t="s">
        <v>490</v>
      </c>
      <c r="Q2" s="176" t="s">
        <v>238</v>
      </c>
      <c r="R2" s="163" t="s">
        <v>267</v>
      </c>
      <c r="S2" s="183"/>
      <c r="T2" s="182" t="s">
        <v>491</v>
      </c>
      <c r="U2" s="183" t="s">
        <v>492</v>
      </c>
      <c r="V2" s="182" t="s">
        <v>493</v>
      </c>
      <c r="W2" s="163" t="s">
        <v>264</v>
      </c>
      <c r="X2" s="183" t="s">
        <v>494</v>
      </c>
      <c r="Y2" s="182" t="s">
        <v>495</v>
      </c>
      <c r="Z2" s="183" t="s">
        <v>496</v>
      </c>
      <c r="AA2" s="163" t="s">
        <v>265</v>
      </c>
      <c r="AB2" s="184"/>
      <c r="AC2" s="182" t="s">
        <v>38</v>
      </c>
      <c r="AD2" s="183" t="s">
        <v>39</v>
      </c>
      <c r="AE2" s="182" t="s">
        <v>34</v>
      </c>
      <c r="AF2" s="169"/>
      <c r="AG2" s="165" t="s">
        <v>288</v>
      </c>
      <c r="AH2" s="182" t="s">
        <v>35</v>
      </c>
      <c r="AI2" s="169"/>
      <c r="AJ2" s="165" t="s">
        <v>277</v>
      </c>
      <c r="AK2" s="182" t="s">
        <v>36</v>
      </c>
      <c r="AL2" s="169"/>
      <c r="AM2" s="165" t="s">
        <v>283</v>
      </c>
      <c r="AN2" s="207" t="s">
        <v>501</v>
      </c>
      <c r="AO2" s="165" t="s">
        <v>502</v>
      </c>
      <c r="AP2" s="207" t="s">
        <v>503</v>
      </c>
      <c r="AQ2" s="165" t="s">
        <v>284</v>
      </c>
      <c r="AR2" s="207" t="s">
        <v>289</v>
      </c>
      <c r="AS2" s="183" t="s">
        <v>37</v>
      </c>
      <c r="AT2" s="169"/>
      <c r="AU2" s="182" t="s">
        <v>255</v>
      </c>
      <c r="AV2" s="183" t="s">
        <v>505</v>
      </c>
      <c r="AW2" s="182" t="s">
        <v>287</v>
      </c>
      <c r="AX2" s="183" t="s">
        <v>506</v>
      </c>
      <c r="AY2" s="166">
        <v>107720.93023255814</v>
      </c>
      <c r="BA2" s="182" t="s">
        <v>510</v>
      </c>
      <c r="BB2" s="183" t="s">
        <v>511</v>
      </c>
      <c r="BC2" s="182" t="s">
        <v>240</v>
      </c>
      <c r="BD2" s="183" t="s">
        <v>258</v>
      </c>
      <c r="BE2" s="182" t="s">
        <v>257</v>
      </c>
      <c r="BF2" s="216"/>
      <c r="BG2" s="183" t="s">
        <v>508</v>
      </c>
      <c r="BH2" s="182" t="s">
        <v>285</v>
      </c>
      <c r="BI2" s="183" t="s">
        <v>262</v>
      </c>
      <c r="BJ2" s="182" t="s">
        <v>261</v>
      </c>
      <c r="BK2" s="183" t="s">
        <v>263</v>
      </c>
      <c r="BL2" s="165" t="s">
        <v>268</v>
      </c>
      <c r="BM2" s="165" t="s">
        <v>269</v>
      </c>
    </row>
    <row r="3" spans="1:65" x14ac:dyDescent="0.3">
      <c r="A3" s="111" t="s">
        <v>291</v>
      </c>
      <c r="B3" s="111" t="s">
        <v>292</v>
      </c>
      <c r="C3" s="112" t="s">
        <v>17</v>
      </c>
      <c r="D3" s="113" t="s">
        <v>279</v>
      </c>
      <c r="E3" s="113" t="s">
        <v>279</v>
      </c>
      <c r="F3" s="111"/>
      <c r="G3" s="46">
        <f t="shared" ref="G3:G34" si="0">+AX3</f>
        <v>35531.274207935836</v>
      </c>
      <c r="H3" s="111"/>
      <c r="I3" s="114">
        <v>71936</v>
      </c>
      <c r="J3" s="47">
        <v>68042</v>
      </c>
      <c r="K3" s="47">
        <v>70841</v>
      </c>
      <c r="L3" s="47">
        <v>55954</v>
      </c>
      <c r="M3" s="47">
        <v>44922</v>
      </c>
      <c r="N3" s="114">
        <v>45427</v>
      </c>
      <c r="O3" s="47">
        <v>5953</v>
      </c>
      <c r="P3" s="47">
        <v>18872</v>
      </c>
      <c r="Q3" s="115">
        <v>26160</v>
      </c>
      <c r="R3" s="47">
        <v>13705</v>
      </c>
      <c r="S3" s="47"/>
      <c r="T3" s="114">
        <v>123920</v>
      </c>
      <c r="U3" s="47">
        <v>148691</v>
      </c>
      <c r="V3" s="47">
        <v>140867</v>
      </c>
      <c r="W3" s="47">
        <v>138593</v>
      </c>
      <c r="X3" s="114">
        <v>6114</v>
      </c>
      <c r="Y3" s="47">
        <v>13318</v>
      </c>
      <c r="Z3" s="47">
        <v>8930</v>
      </c>
      <c r="AA3" s="47">
        <v>13092</v>
      </c>
      <c r="AB3" s="47"/>
      <c r="AC3" s="16">
        <f t="shared" ref="AC3:AC34" si="1">I3+X3*0.1</f>
        <v>72547.399999999994</v>
      </c>
      <c r="AD3" s="16">
        <f t="shared" ref="AD3:AD34" si="2">N3+0.1*T3</f>
        <v>57819</v>
      </c>
      <c r="AE3" s="16">
        <f>SUM(AC3*'Factors &amp; Percentages'!$E$27+AD3*'Factors &amp; Percentages'!$E$28)</f>
        <v>10467.885283090221</v>
      </c>
      <c r="AF3" s="16"/>
      <c r="AG3" s="101">
        <v>1</v>
      </c>
      <c r="AH3" s="18">
        <f>AG3*'Factors &amp; Percentages'!$E$31</f>
        <v>13099.846088755494</v>
      </c>
      <c r="AI3" s="18"/>
      <c r="AJ3" s="18">
        <v>1179</v>
      </c>
      <c r="AK3" s="18">
        <f>AJ3*'Factors &amp; Percentages'!$E$34</f>
        <v>2466.9043003136708</v>
      </c>
      <c r="AL3" s="18"/>
      <c r="AM3" s="30">
        <v>55</v>
      </c>
      <c r="AN3" s="30">
        <v>43</v>
      </c>
      <c r="AO3" s="116">
        <v>125</v>
      </c>
      <c r="AP3" s="116">
        <v>124</v>
      </c>
      <c r="AQ3" s="115">
        <v>6108</v>
      </c>
      <c r="AR3" s="115">
        <f t="shared" ref="AR3:AR66" si="3">+AQ3</f>
        <v>6108</v>
      </c>
      <c r="AS3" s="18">
        <f>AN3*'Factors &amp; Percentages'!$E$37+AP3*'Factors &amp; Percentages'!$E$38+AR3*'Factors &amp; Percentages'!$E$39</f>
        <v>9496.6385357764466</v>
      </c>
      <c r="AT3" s="18"/>
      <c r="AU3" s="18">
        <f t="shared" ref="AU3:AU66" si="4">AE3+AH3+AK3+AS3</f>
        <v>35531.274207935836</v>
      </c>
      <c r="AV3" s="69">
        <f t="shared" ref="AV3:AV49" si="5">IF($N3&gt;($J3+$K3+$I3)/3,$AU3,MIN(AU3,$I3*0.65))</f>
        <v>35531.274207935836</v>
      </c>
      <c r="AW3" s="46">
        <f>IF($BG3&gt;$AV3,$BG3*(1+'Factors &amp; Percentages'!$B$24),
IF($AU3&gt;$AV3,$AV3,
IF($AU3&gt;$BG3,$AU3,
$BG3*(1+'Factors &amp; Percentages'!$B$24))))</f>
        <v>35531.274207935836</v>
      </c>
      <c r="AX3" s="46">
        <f>MIN(AW3,+AG3*2*AY$2)</f>
        <v>35531.274207935836</v>
      </c>
      <c r="AY3" s="69"/>
      <c r="AZ3" s="27"/>
      <c r="BA3" s="21">
        <v>31266.793688303613</v>
      </c>
      <c r="BB3" s="46">
        <v>30382</v>
      </c>
      <c r="BC3" s="119">
        <v>36370</v>
      </c>
      <c r="BD3" s="120">
        <v>29199.3</v>
      </c>
      <c r="BE3" s="120">
        <v>41827.069741151048</v>
      </c>
      <c r="BF3" s="69"/>
      <c r="BG3" s="73">
        <v>30000</v>
      </c>
      <c r="BH3" s="73">
        <v>30000</v>
      </c>
      <c r="BI3" s="117">
        <v>30000</v>
      </c>
      <c r="BJ3" s="118">
        <v>28000</v>
      </c>
      <c r="BK3" s="106">
        <v>28000</v>
      </c>
      <c r="BL3" s="106">
        <v>28000</v>
      </c>
      <c r="BM3" s="106">
        <v>28000</v>
      </c>
    </row>
    <row r="4" spans="1:65" x14ac:dyDescent="0.3">
      <c r="A4" s="121" t="s">
        <v>293</v>
      </c>
      <c r="B4" s="121" t="s">
        <v>45</v>
      </c>
      <c r="C4" s="174" t="s">
        <v>45</v>
      </c>
      <c r="D4" s="122" t="s">
        <v>279</v>
      </c>
      <c r="E4" s="173" t="s">
        <v>281</v>
      </c>
      <c r="F4" s="111"/>
      <c r="G4" s="185">
        <f t="shared" si="0"/>
        <v>68250</v>
      </c>
      <c r="H4" s="186"/>
      <c r="I4" s="187">
        <v>98533</v>
      </c>
      <c r="J4" s="188">
        <v>106357</v>
      </c>
      <c r="K4" s="189">
        <v>93456</v>
      </c>
      <c r="L4" s="123">
        <v>100442</v>
      </c>
      <c r="M4" s="123">
        <v>99009</v>
      </c>
      <c r="N4" s="190">
        <v>79688</v>
      </c>
      <c r="O4" s="189">
        <v>60138</v>
      </c>
      <c r="P4" s="188">
        <v>68271</v>
      </c>
      <c r="Q4" s="208">
        <v>83242</v>
      </c>
      <c r="R4" s="123">
        <v>88360</v>
      </c>
      <c r="S4" s="188"/>
      <c r="T4" s="187">
        <v>28048</v>
      </c>
      <c r="U4" s="188">
        <v>54038</v>
      </c>
      <c r="V4" s="189">
        <v>37192</v>
      </c>
      <c r="W4" s="123">
        <v>32634</v>
      </c>
      <c r="X4" s="190">
        <v>11372</v>
      </c>
      <c r="Y4" s="189">
        <v>27138</v>
      </c>
      <c r="Z4" s="188">
        <v>11558</v>
      </c>
      <c r="AA4" s="123">
        <v>7728</v>
      </c>
      <c r="AB4" s="191"/>
      <c r="AC4" s="204">
        <f t="shared" si="1"/>
        <v>99670.2</v>
      </c>
      <c r="AD4" s="205">
        <f t="shared" si="2"/>
        <v>82492.800000000003</v>
      </c>
      <c r="AE4" s="204">
        <f>SUM(AC4*'Factors &amp; Percentages'!$E$27+AD4*'Factors &amp; Percentages'!$E$28)</f>
        <v>14586.845206200247</v>
      </c>
      <c r="AF4" s="16"/>
      <c r="AG4" s="125">
        <v>1</v>
      </c>
      <c r="AH4" s="204">
        <f>AG4*'Factors &amp; Percentages'!$E$31</f>
        <v>13099.846088755494</v>
      </c>
      <c r="AI4" s="18"/>
      <c r="AJ4" s="126">
        <v>6681</v>
      </c>
      <c r="AK4" s="204">
        <f>AJ4*'Factors &amp; Percentages'!$E$34</f>
        <v>13979.124368444134</v>
      </c>
      <c r="AL4" s="18"/>
      <c r="AM4" s="124">
        <v>94</v>
      </c>
      <c r="AN4" s="211">
        <v>86</v>
      </c>
      <c r="AO4" s="124">
        <v>144</v>
      </c>
      <c r="AP4" s="212">
        <v>138</v>
      </c>
      <c r="AQ4" s="135">
        <v>6817</v>
      </c>
      <c r="AR4" s="179">
        <f t="shared" si="3"/>
        <v>6817</v>
      </c>
      <c r="AS4" s="205">
        <f>AN4*'Factors &amp; Percentages'!$E$37+AP4*'Factors &amp; Percentages'!$E$38+AR4*'Factors &amp; Percentages'!$E$39</f>
        <v>15311.446197677818</v>
      </c>
      <c r="AT4" s="18"/>
      <c r="AU4" s="203">
        <f t="shared" si="4"/>
        <v>56977.261861077692</v>
      </c>
      <c r="AV4" s="213">
        <f t="shared" si="5"/>
        <v>56977.261861077692</v>
      </c>
      <c r="AW4" s="196">
        <f>IF($BG4&gt;$AV4,$BG4*(1+'Factors &amp; Percentages'!$B$24),
IF($AU4&gt;$AV4,$AV4,
IF($AU4&gt;$BG4,$AU4,
$BG4*(1+'Factors &amp; Percentages'!$B$24))))</f>
        <v>68250</v>
      </c>
      <c r="AX4" s="185">
        <f>MIN(AW4,+AG4*2*AY$2)</f>
        <v>68250</v>
      </c>
      <c r="AY4" s="127"/>
      <c r="AZ4" s="27"/>
      <c r="BA4" s="223">
        <v>75291.3</v>
      </c>
      <c r="BB4" s="185">
        <v>75291.3</v>
      </c>
      <c r="BC4" s="204">
        <v>71706</v>
      </c>
      <c r="BD4" s="218">
        <v>68290.625</v>
      </c>
      <c r="BE4" s="224">
        <v>66625</v>
      </c>
      <c r="BF4" s="219"/>
      <c r="BG4" s="221">
        <v>65000</v>
      </c>
      <c r="BH4" s="226">
        <v>71706</v>
      </c>
      <c r="BI4" s="220">
        <v>71706</v>
      </c>
      <c r="BJ4" s="227">
        <v>68291</v>
      </c>
      <c r="BK4" s="221">
        <v>66625</v>
      </c>
      <c r="BL4" s="128">
        <v>65000</v>
      </c>
      <c r="BM4" s="128">
        <v>65000</v>
      </c>
    </row>
    <row r="5" spans="1:65" x14ac:dyDescent="0.3">
      <c r="A5" s="111" t="s">
        <v>294</v>
      </c>
      <c r="B5" s="111" t="s">
        <v>89</v>
      </c>
      <c r="C5" s="112" t="s">
        <v>89</v>
      </c>
      <c r="D5" s="113" t="s">
        <v>295</v>
      </c>
      <c r="E5" s="113" t="s">
        <v>295</v>
      </c>
      <c r="F5" s="111"/>
      <c r="G5" s="46">
        <f t="shared" si="0"/>
        <v>12648.496728421378</v>
      </c>
      <c r="H5" s="111"/>
      <c r="I5" s="114">
        <v>17020</v>
      </c>
      <c r="J5" s="47">
        <v>28160</v>
      </c>
      <c r="K5" s="47">
        <v>13966</v>
      </c>
      <c r="L5" s="47">
        <v>11540</v>
      </c>
      <c r="M5" s="47">
        <v>8097</v>
      </c>
      <c r="N5" s="114">
        <v>33555</v>
      </c>
      <c r="O5" s="47">
        <v>129896</v>
      </c>
      <c r="P5" s="47">
        <v>134035</v>
      </c>
      <c r="Q5" s="115">
        <v>134073</v>
      </c>
      <c r="R5" s="47">
        <v>137123</v>
      </c>
      <c r="S5" s="47"/>
      <c r="T5" s="114">
        <v>11907</v>
      </c>
      <c r="U5" s="47">
        <v>8221</v>
      </c>
      <c r="V5" s="47">
        <v>5645</v>
      </c>
      <c r="W5" s="47">
        <v>0</v>
      </c>
      <c r="X5" s="114">
        <v>928</v>
      </c>
      <c r="Y5" s="47">
        <v>2644</v>
      </c>
      <c r="Z5" s="47">
        <v>5950</v>
      </c>
      <c r="AA5" s="47">
        <v>0</v>
      </c>
      <c r="AB5" s="47"/>
      <c r="AC5" s="16">
        <f t="shared" si="1"/>
        <v>17112.8</v>
      </c>
      <c r="AD5" s="16">
        <f t="shared" si="2"/>
        <v>34745.699999999997</v>
      </c>
      <c r="AE5" s="16">
        <f>SUM(AC5*'Factors &amp; Percentages'!$E$27+AD5*'Factors &amp; Percentages'!$E$28)</f>
        <v>3887.2323478315047</v>
      </c>
      <c r="AF5" s="16"/>
      <c r="AG5" s="101">
        <v>0.2</v>
      </c>
      <c r="AH5" s="18">
        <f>AG5*'Factors &amp; Percentages'!$E$31</f>
        <v>2619.9692177510988</v>
      </c>
      <c r="AI5" s="18"/>
      <c r="AJ5" s="18">
        <v>1599</v>
      </c>
      <c r="AK5" s="18">
        <f>AJ5*'Factors &amp; Percentages'!$E$34</f>
        <v>3345.6997253617978</v>
      </c>
      <c r="AL5" s="18"/>
      <c r="AM5" s="30">
        <v>15</v>
      </c>
      <c r="AN5" s="30">
        <v>14</v>
      </c>
      <c r="AO5" s="30">
        <v>27</v>
      </c>
      <c r="AP5" s="116">
        <v>27</v>
      </c>
      <c r="AQ5" s="115">
        <v>2073</v>
      </c>
      <c r="AR5" s="115">
        <f t="shared" si="3"/>
        <v>2073</v>
      </c>
      <c r="AS5" s="18">
        <f>AN5*'Factors &amp; Percentages'!$E$37+AP5*'Factors &amp; Percentages'!$E$38+AR5*'Factors &amp; Percentages'!$E$39</f>
        <v>2795.5954374769767</v>
      </c>
      <c r="AT5" s="18"/>
      <c r="AU5" s="18">
        <f t="shared" si="4"/>
        <v>12648.496728421378</v>
      </c>
      <c r="AV5" s="69">
        <f t="shared" si="5"/>
        <v>12648.496728421378</v>
      </c>
      <c r="AW5" s="46">
        <f>IF($BG5&gt;$AV5,$BG5*(1+'Factors &amp; Percentages'!$B$24),
IF($AU5&gt;$AV5,$AV5,
IF($AU5&gt;$BG5,$AU5,
$BG5*(1+'Factors &amp; Percentages'!$B$24))))</f>
        <v>12648.496728421378</v>
      </c>
      <c r="AX5" s="46">
        <f t="shared" ref="AX5:AX66" si="6">MIN(AW5,+AG5*2*AY$2)</f>
        <v>12648.496728421378</v>
      </c>
      <c r="AY5" s="69"/>
      <c r="AZ5" s="27"/>
      <c r="BA5" s="21">
        <v>18398.453651137464</v>
      </c>
      <c r="BB5" s="46">
        <v>17230</v>
      </c>
      <c r="BC5" s="119">
        <v>7501</v>
      </c>
      <c r="BD5" s="120">
        <v>7118.6249999999991</v>
      </c>
      <c r="BE5" s="120">
        <v>6945.1</v>
      </c>
      <c r="BF5" s="69"/>
      <c r="BG5" s="73">
        <v>8400</v>
      </c>
      <c r="BH5" s="73">
        <v>8000</v>
      </c>
      <c r="BI5" s="117">
        <v>7501</v>
      </c>
      <c r="BJ5" s="118">
        <v>7119</v>
      </c>
      <c r="BK5" s="106">
        <v>6945</v>
      </c>
      <c r="BL5" s="106">
        <v>6000</v>
      </c>
      <c r="BM5" s="106">
        <v>0</v>
      </c>
    </row>
    <row r="6" spans="1:65" x14ac:dyDescent="0.3">
      <c r="A6" s="121" t="s">
        <v>90</v>
      </c>
      <c r="B6" s="121" t="s">
        <v>90</v>
      </c>
      <c r="C6" s="174" t="s">
        <v>90</v>
      </c>
      <c r="D6" s="122" t="s">
        <v>295</v>
      </c>
      <c r="E6" s="173" t="s">
        <v>295</v>
      </c>
      <c r="F6" s="111"/>
      <c r="G6" s="185">
        <f t="shared" si="0"/>
        <v>53401.595269011799</v>
      </c>
      <c r="H6" s="186"/>
      <c r="I6" s="187">
        <v>56095</v>
      </c>
      <c r="J6" s="188">
        <v>57469</v>
      </c>
      <c r="K6" s="189">
        <v>59034</v>
      </c>
      <c r="L6" s="123">
        <v>65755</v>
      </c>
      <c r="M6" s="123">
        <v>89303</v>
      </c>
      <c r="N6" s="190">
        <v>113775</v>
      </c>
      <c r="O6" s="189">
        <v>24475</v>
      </c>
      <c r="P6" s="188">
        <v>38803</v>
      </c>
      <c r="Q6" s="208">
        <v>44739</v>
      </c>
      <c r="R6" s="123">
        <v>46621</v>
      </c>
      <c r="S6" s="188"/>
      <c r="T6" s="187">
        <v>0</v>
      </c>
      <c r="U6" s="188">
        <v>0</v>
      </c>
      <c r="V6" s="189">
        <v>10000</v>
      </c>
      <c r="W6" s="123">
        <v>3641</v>
      </c>
      <c r="X6" s="190">
        <v>0</v>
      </c>
      <c r="Y6" s="189">
        <v>28674</v>
      </c>
      <c r="Z6" s="188">
        <v>0</v>
      </c>
      <c r="AA6" s="123">
        <v>0</v>
      </c>
      <c r="AB6" s="191"/>
      <c r="AC6" s="204">
        <f t="shared" si="1"/>
        <v>56095</v>
      </c>
      <c r="AD6" s="205">
        <f t="shared" si="2"/>
        <v>113775</v>
      </c>
      <c r="AE6" s="204">
        <f>SUM(AC6*'Factors &amp; Percentages'!$E$27+AD6*'Factors &amp; Percentages'!$E$28)</f>
        <v>12734.122584803077</v>
      </c>
      <c r="AF6" s="16"/>
      <c r="AG6" s="125">
        <v>0.7</v>
      </c>
      <c r="AH6" s="204">
        <f>AG6*'Factors &amp; Percentages'!$E$31</f>
        <v>9169.8922621288457</v>
      </c>
      <c r="AI6" s="18"/>
      <c r="AJ6" s="126">
        <v>9508</v>
      </c>
      <c r="AK6" s="204">
        <f>AJ6*'Factors &amp; Percentages'!$E$34</f>
        <v>19894.254527041885</v>
      </c>
      <c r="AL6" s="18"/>
      <c r="AM6" s="124">
        <v>40</v>
      </c>
      <c r="AN6" s="211">
        <v>60</v>
      </c>
      <c r="AO6" s="124">
        <v>112</v>
      </c>
      <c r="AP6" s="212">
        <v>108</v>
      </c>
      <c r="AQ6" s="135">
        <v>7920</v>
      </c>
      <c r="AR6" s="179">
        <f t="shared" si="3"/>
        <v>7920</v>
      </c>
      <c r="AS6" s="205">
        <f>AN6*'Factors &amp; Percentages'!$E$37+AP6*'Factors &amp; Percentages'!$E$38+AR6*'Factors &amp; Percentages'!$E$39</f>
        <v>11603.32589503799</v>
      </c>
      <c r="AT6" s="18"/>
      <c r="AU6" s="203">
        <f t="shared" si="4"/>
        <v>53401.595269011799</v>
      </c>
      <c r="AV6" s="213">
        <f t="shared" si="5"/>
        <v>53401.595269011799</v>
      </c>
      <c r="AW6" s="196">
        <f>IF($BG6&gt;$AV6,$BG6*(1+'Factors &amp; Percentages'!$B$24),
IF($AU6&gt;$AV6,$AV6,
IF($AU6&gt;$BG6,$AU6,
$BG6*(1+'Factors &amp; Percentages'!$B$24))))</f>
        <v>53401.595269011799</v>
      </c>
      <c r="AX6" s="185">
        <f>MIN(AW6,+AG6*2*AY$2)</f>
        <v>53401.595269011799</v>
      </c>
      <c r="AY6" s="127"/>
      <c r="AZ6" s="27"/>
      <c r="BA6" s="223">
        <v>37354.85</v>
      </c>
      <c r="BB6" s="185">
        <v>59850</v>
      </c>
      <c r="BC6" s="204">
        <v>66436</v>
      </c>
      <c r="BD6" s="218">
        <v>63272.224999999991</v>
      </c>
      <c r="BE6" s="224">
        <v>61728.574999999997</v>
      </c>
      <c r="BF6" s="219"/>
      <c r="BG6" s="221">
        <v>20000</v>
      </c>
      <c r="BH6" s="226">
        <v>33000</v>
      </c>
      <c r="BI6" s="220">
        <v>57000</v>
      </c>
      <c r="BJ6" s="227">
        <v>63272</v>
      </c>
      <c r="BK6" s="221">
        <v>61729</v>
      </c>
      <c r="BL6" s="128">
        <v>60223</v>
      </c>
      <c r="BM6" s="128">
        <v>57907</v>
      </c>
    </row>
    <row r="7" spans="1:65" x14ac:dyDescent="0.3">
      <c r="A7" s="111" t="s">
        <v>177</v>
      </c>
      <c r="B7" s="111" t="s">
        <v>177</v>
      </c>
      <c r="C7" s="112" t="s">
        <v>177</v>
      </c>
      <c r="D7" s="113" t="s">
        <v>295</v>
      </c>
      <c r="E7" s="113" t="s">
        <v>296</v>
      </c>
      <c r="F7" s="111"/>
      <c r="G7" s="46">
        <f t="shared" si="0"/>
        <v>32952.926709590218</v>
      </c>
      <c r="H7" s="111"/>
      <c r="I7" s="114">
        <v>43421</v>
      </c>
      <c r="J7" s="47">
        <v>43007</v>
      </c>
      <c r="K7" s="47">
        <v>40424</v>
      </c>
      <c r="L7" s="47">
        <v>40109</v>
      </c>
      <c r="M7" s="47">
        <v>43070</v>
      </c>
      <c r="N7" s="114">
        <v>45373</v>
      </c>
      <c r="O7" s="47">
        <v>43958</v>
      </c>
      <c r="P7" s="47">
        <v>42470</v>
      </c>
      <c r="Q7" s="115">
        <v>39653</v>
      </c>
      <c r="R7" s="47">
        <v>38179</v>
      </c>
      <c r="S7" s="47"/>
      <c r="T7" s="114">
        <v>23167</v>
      </c>
      <c r="U7" s="47">
        <v>18711</v>
      </c>
      <c r="V7" s="47">
        <v>18733</v>
      </c>
      <c r="W7" s="47">
        <v>18205</v>
      </c>
      <c r="X7" s="114">
        <v>1227</v>
      </c>
      <c r="Y7" s="47">
        <v>672</v>
      </c>
      <c r="Z7" s="47">
        <v>1190</v>
      </c>
      <c r="AA7" s="47">
        <v>85</v>
      </c>
      <c r="AB7" s="47"/>
      <c r="AC7" s="16">
        <f t="shared" si="1"/>
        <v>43543.7</v>
      </c>
      <c r="AD7" s="16">
        <f t="shared" si="2"/>
        <v>47689.7</v>
      </c>
      <c r="AE7" s="16">
        <f>SUM(AC7*'Factors &amp; Percentages'!$E$27+AD7*'Factors &amp; Percentages'!$E$28)</f>
        <v>7155.3704223647783</v>
      </c>
      <c r="AF7" s="16"/>
      <c r="AG7" s="101">
        <v>0.5</v>
      </c>
      <c r="AH7" s="18">
        <f>AG7*'Factors &amp; Percentages'!$E$31</f>
        <v>6549.9230443777469</v>
      </c>
      <c r="AI7" s="18"/>
      <c r="AJ7" s="18">
        <v>5021</v>
      </c>
      <c r="AK7" s="18">
        <f>AJ7*'Factors &amp; Percentages'!$E$34</f>
        <v>10505.790069444394</v>
      </c>
      <c r="AL7" s="18"/>
      <c r="AM7" s="30">
        <v>38</v>
      </c>
      <c r="AN7" s="30">
        <v>39</v>
      </c>
      <c r="AO7" s="30">
        <v>83</v>
      </c>
      <c r="AP7" s="116">
        <v>82</v>
      </c>
      <c r="AQ7" s="115">
        <v>9668</v>
      </c>
      <c r="AR7" s="115">
        <f t="shared" si="3"/>
        <v>9668</v>
      </c>
      <c r="AS7" s="18">
        <f>AN7*'Factors &amp; Percentages'!$E$37+AP7*'Factors &amp; Percentages'!$E$38+AR7*'Factors &amp; Percentages'!$E$39</f>
        <v>8741.8431734032965</v>
      </c>
      <c r="AT7" s="18"/>
      <c r="AU7" s="18">
        <f t="shared" si="4"/>
        <v>32952.926709590218</v>
      </c>
      <c r="AV7" s="69">
        <f t="shared" si="5"/>
        <v>32952.926709590218</v>
      </c>
      <c r="AW7" s="46">
        <f>IF($BG7&gt;$AV7,$BG7*(1+'Factors &amp; Percentages'!$B$24),
IF($AU7&gt;$AV7,$AV7,
IF($AU7&gt;$BG7,$AU7,
$BG7*(1+'Factors &amp; Percentages'!$B$24))))</f>
        <v>32952.926709590218</v>
      </c>
      <c r="AX7" s="46">
        <f t="shared" si="6"/>
        <v>32952.926709590218</v>
      </c>
      <c r="AY7" s="69"/>
      <c r="AZ7" s="27"/>
      <c r="BA7" s="21">
        <v>29886.277934823429</v>
      </c>
      <c r="BB7" s="46">
        <v>27338</v>
      </c>
      <c r="BC7" s="119">
        <v>28049</v>
      </c>
      <c r="BD7" s="120">
        <v>27995.5</v>
      </c>
      <c r="BE7" s="120">
        <v>34669.224999999999</v>
      </c>
      <c r="BF7" s="69"/>
      <c r="BG7" s="73">
        <v>27955</v>
      </c>
      <c r="BH7" s="73">
        <v>27338</v>
      </c>
      <c r="BI7" s="117">
        <v>26713</v>
      </c>
      <c r="BJ7" s="118">
        <v>26713</v>
      </c>
      <c r="BK7" s="106">
        <v>26713</v>
      </c>
      <c r="BL7" s="106">
        <v>26189</v>
      </c>
      <c r="BM7" s="106">
        <v>25675</v>
      </c>
    </row>
    <row r="8" spans="1:65" x14ac:dyDescent="0.3">
      <c r="A8" s="121" t="s">
        <v>297</v>
      </c>
      <c r="B8" s="121" t="s">
        <v>297</v>
      </c>
      <c r="C8" s="174" t="s">
        <v>125</v>
      </c>
      <c r="D8" s="122" t="s">
        <v>302</v>
      </c>
      <c r="E8" s="173" t="s">
        <v>298</v>
      </c>
      <c r="F8" s="111"/>
      <c r="G8" s="185">
        <f t="shared" si="0"/>
        <v>34616.265409385785</v>
      </c>
      <c r="H8" s="186"/>
      <c r="I8" s="187">
        <v>27580</v>
      </c>
      <c r="J8" s="188">
        <v>32645</v>
      </c>
      <c r="K8" s="189">
        <v>34877</v>
      </c>
      <c r="L8" s="123">
        <v>23759</v>
      </c>
      <c r="M8" s="123">
        <v>21692</v>
      </c>
      <c r="N8" s="190">
        <v>190594</v>
      </c>
      <c r="O8" s="189">
        <v>190790</v>
      </c>
      <c r="P8" s="188">
        <v>176525</v>
      </c>
      <c r="Q8" s="208">
        <v>259320</v>
      </c>
      <c r="R8" s="123">
        <v>257357</v>
      </c>
      <c r="S8" s="188"/>
      <c r="T8" s="187">
        <v>0</v>
      </c>
      <c r="U8" s="188">
        <v>10379</v>
      </c>
      <c r="V8" s="189">
        <v>35413</v>
      </c>
      <c r="W8" s="123">
        <v>25186</v>
      </c>
      <c r="X8" s="190">
        <v>2353</v>
      </c>
      <c r="Y8" s="189">
        <v>0</v>
      </c>
      <c r="Z8" s="188">
        <v>539606</v>
      </c>
      <c r="AA8" s="123">
        <v>0</v>
      </c>
      <c r="AB8" s="191"/>
      <c r="AC8" s="204">
        <f t="shared" si="1"/>
        <v>27815.3</v>
      </c>
      <c r="AD8" s="205">
        <f t="shared" si="2"/>
        <v>190594</v>
      </c>
      <c r="AE8" s="204">
        <f>SUM(AC8*'Factors &amp; Percentages'!$E$27+AD8*'Factors &amp; Percentages'!$E$28)</f>
        <v>15328.687212474269</v>
      </c>
      <c r="AF8" s="16"/>
      <c r="AG8" s="125">
        <v>1</v>
      </c>
      <c r="AH8" s="204">
        <f>AG8*'Factors &amp; Percentages'!$E$31</f>
        <v>13099.846088755494</v>
      </c>
      <c r="AI8" s="18"/>
      <c r="AJ8" s="126">
        <v>574</v>
      </c>
      <c r="AK8" s="204">
        <f>AJ8*'Factors &amp; Percentages'!$E$34</f>
        <v>1201.0204142324403</v>
      </c>
      <c r="AL8" s="18"/>
      <c r="AM8" s="124">
        <v>10</v>
      </c>
      <c r="AN8" s="211">
        <v>7</v>
      </c>
      <c r="AO8" s="124">
        <v>11</v>
      </c>
      <c r="AP8" s="212">
        <v>11</v>
      </c>
      <c r="AQ8" s="135">
        <v>18899</v>
      </c>
      <c r="AR8" s="179">
        <f t="shared" si="3"/>
        <v>18899</v>
      </c>
      <c r="AS8" s="205">
        <f>AN8*'Factors &amp; Percentages'!$E$37+AP8*'Factors &amp; Percentages'!$E$38+AR8*'Factors &amp; Percentages'!$E$39</f>
        <v>4986.7116939235812</v>
      </c>
      <c r="AT8" s="18"/>
      <c r="AU8" s="203">
        <f t="shared" si="4"/>
        <v>34616.265409385785</v>
      </c>
      <c r="AV8" s="213">
        <f t="shared" si="5"/>
        <v>34616.265409385785</v>
      </c>
      <c r="AW8" s="196">
        <f>IF($BG8&gt;$AV8,$BG8*(1+'Factors &amp; Percentages'!$B$24),
IF($AU8&gt;$AV8,$AV8,
IF($AU8&gt;$BG8,$AU8,
$BG8*(1+'Factors &amp; Percentages'!$B$24))))</f>
        <v>34616.265409385785</v>
      </c>
      <c r="AX8" s="185">
        <f t="shared" si="6"/>
        <v>34616.265409385785</v>
      </c>
      <c r="AY8" s="127"/>
      <c r="AZ8" s="27"/>
      <c r="BA8" s="223">
        <v>32171.300931873833</v>
      </c>
      <c r="BB8" s="185">
        <v>40747</v>
      </c>
      <c r="BC8" s="204">
        <v>15443</v>
      </c>
      <c r="BD8" s="218">
        <v>14099.800000000001</v>
      </c>
      <c r="BE8" s="224">
        <v>41513.600000000006</v>
      </c>
      <c r="BF8" s="219"/>
      <c r="BG8" s="221">
        <v>3600</v>
      </c>
      <c r="BH8" s="226">
        <v>9000</v>
      </c>
      <c r="BI8" s="220">
        <v>13100</v>
      </c>
      <c r="BJ8" s="227">
        <v>13002</v>
      </c>
      <c r="BK8" s="221">
        <v>12300</v>
      </c>
      <c r="BL8" s="128">
        <v>8946</v>
      </c>
      <c r="BM8" s="128">
        <v>8520</v>
      </c>
    </row>
    <row r="9" spans="1:65" x14ac:dyDescent="0.3">
      <c r="A9" s="111" t="s">
        <v>198</v>
      </c>
      <c r="B9" s="111" t="s">
        <v>198</v>
      </c>
      <c r="C9" s="112" t="s">
        <v>198</v>
      </c>
      <c r="D9" s="113" t="s">
        <v>279</v>
      </c>
      <c r="E9" s="113" t="s">
        <v>280</v>
      </c>
      <c r="F9" s="111"/>
      <c r="G9" s="46">
        <f t="shared" si="0"/>
        <v>71348.545615550684</v>
      </c>
      <c r="H9" s="111"/>
      <c r="I9" s="114">
        <v>130933</v>
      </c>
      <c r="J9" s="47">
        <v>119533</v>
      </c>
      <c r="K9" s="47">
        <v>109822</v>
      </c>
      <c r="L9" s="47">
        <v>92063</v>
      </c>
      <c r="M9" s="47">
        <v>102013</v>
      </c>
      <c r="N9" s="114">
        <v>76920</v>
      </c>
      <c r="O9" s="47">
        <v>179949</v>
      </c>
      <c r="P9" s="47">
        <v>128566</v>
      </c>
      <c r="Q9" s="115">
        <v>179890</v>
      </c>
      <c r="R9" s="47">
        <v>160030</v>
      </c>
      <c r="S9" s="47"/>
      <c r="T9" s="114">
        <v>5274</v>
      </c>
      <c r="U9" s="47">
        <v>9556</v>
      </c>
      <c r="V9" s="47">
        <v>12328</v>
      </c>
      <c r="W9" s="47">
        <v>153233</v>
      </c>
      <c r="X9" s="114">
        <v>705</v>
      </c>
      <c r="Y9" s="47">
        <v>0</v>
      </c>
      <c r="Z9" s="47">
        <v>500</v>
      </c>
      <c r="AA9" s="47">
        <v>5550</v>
      </c>
      <c r="AB9" s="47"/>
      <c r="AC9" s="16">
        <f t="shared" si="1"/>
        <v>131003.5</v>
      </c>
      <c r="AD9" s="16">
        <f t="shared" si="2"/>
        <v>77447.399999999994</v>
      </c>
      <c r="AE9" s="16">
        <f>SUM(AC9*'Factors &amp; Percentages'!$E$27+AD9*'Factors &amp; Percentages'!$E$28)</f>
        <v>17091.295072495537</v>
      </c>
      <c r="AF9" s="16"/>
      <c r="AG9" s="101">
        <v>2</v>
      </c>
      <c r="AH9" s="18">
        <f>AG9*'Factors &amp; Percentages'!$E$31</f>
        <v>26199.692177510988</v>
      </c>
      <c r="AI9" s="18"/>
      <c r="AJ9" s="18">
        <v>2314</v>
      </c>
      <c r="AK9" s="18">
        <f>AJ9*'Factors &amp; Percentages'!$E$34</f>
        <v>4841.7443180032524</v>
      </c>
      <c r="AL9" s="18"/>
      <c r="AM9" s="30">
        <v>96</v>
      </c>
      <c r="AN9" s="30">
        <v>96</v>
      </c>
      <c r="AO9" s="30">
        <v>176</v>
      </c>
      <c r="AP9" s="116">
        <v>178</v>
      </c>
      <c r="AQ9" s="115">
        <v>34849</v>
      </c>
      <c r="AR9" s="115">
        <f t="shared" si="3"/>
        <v>34849</v>
      </c>
      <c r="AS9" s="18">
        <f>AN9*'Factors &amp; Percentages'!$E$37+AP9*'Factors &amp; Percentages'!$E$38+AR9*'Factors &amp; Percentages'!$E$39</f>
        <v>23215.814047540909</v>
      </c>
      <c r="AT9" s="18"/>
      <c r="AU9" s="18">
        <f t="shared" si="4"/>
        <v>71348.545615550684</v>
      </c>
      <c r="AV9" s="69">
        <f t="shared" si="5"/>
        <v>71348.545615550684</v>
      </c>
      <c r="AW9" s="46">
        <f>IF($BG9&gt;$AV9,$BG9*(1+'Factors &amp; Percentages'!$B$24),
IF($AU9&gt;$AV9,$AV9,
IF($AU9&gt;$BG9,$AU9,
$BG9*(1+'Factors &amp; Percentages'!$B$24))))</f>
        <v>71348.545615550684</v>
      </c>
      <c r="AX9" s="46">
        <f t="shared" si="6"/>
        <v>71348.545615550684</v>
      </c>
      <c r="AY9" s="69"/>
      <c r="AZ9" s="27"/>
      <c r="BA9" s="21">
        <v>70377.340093351799</v>
      </c>
      <c r="BB9" s="46">
        <v>79380</v>
      </c>
      <c r="BC9" s="119">
        <v>75600</v>
      </c>
      <c r="BD9" s="120">
        <v>66308.45</v>
      </c>
      <c r="BE9" s="120">
        <v>76729</v>
      </c>
      <c r="BF9" s="69"/>
      <c r="BG9" s="73">
        <v>64000</v>
      </c>
      <c r="BH9" s="73">
        <v>62924</v>
      </c>
      <c r="BI9" s="117">
        <v>75600</v>
      </c>
      <c r="BJ9" s="118">
        <v>72000</v>
      </c>
      <c r="BK9" s="106">
        <v>30000</v>
      </c>
      <c r="BL9" s="106">
        <v>72000</v>
      </c>
      <c r="BM9" s="106">
        <v>84000</v>
      </c>
    </row>
    <row r="10" spans="1:65" x14ac:dyDescent="0.3">
      <c r="A10" s="121" t="s">
        <v>57</v>
      </c>
      <c r="B10" s="121" t="s">
        <v>57</v>
      </c>
      <c r="C10" s="175" t="s">
        <v>57</v>
      </c>
      <c r="D10" s="122" t="s">
        <v>302</v>
      </c>
      <c r="E10" s="173" t="s">
        <v>299</v>
      </c>
      <c r="F10" s="111"/>
      <c r="G10" s="185">
        <f t="shared" si="0"/>
        <v>16758.3</v>
      </c>
      <c r="H10" s="186"/>
      <c r="I10" s="187">
        <v>25782</v>
      </c>
      <c r="J10" s="188">
        <v>39458</v>
      </c>
      <c r="K10" s="189">
        <v>29205</v>
      </c>
      <c r="L10" s="123">
        <v>24800</v>
      </c>
      <c r="M10" s="123">
        <v>23440</v>
      </c>
      <c r="N10" s="190">
        <v>10666</v>
      </c>
      <c r="O10" s="189">
        <v>13703</v>
      </c>
      <c r="P10" s="188">
        <v>16762</v>
      </c>
      <c r="Q10" s="208">
        <v>20688</v>
      </c>
      <c r="R10" s="123">
        <v>37179</v>
      </c>
      <c r="S10" s="188"/>
      <c r="T10" s="187">
        <v>6550</v>
      </c>
      <c r="U10" s="188">
        <v>17178</v>
      </c>
      <c r="V10" s="189">
        <v>18202</v>
      </c>
      <c r="W10" s="123">
        <v>0</v>
      </c>
      <c r="X10" s="190">
        <v>1020</v>
      </c>
      <c r="Y10" s="189">
        <v>1206</v>
      </c>
      <c r="Z10" s="188">
        <v>3223</v>
      </c>
      <c r="AA10" s="123">
        <v>0</v>
      </c>
      <c r="AB10" s="191"/>
      <c r="AC10" s="204">
        <f t="shared" si="1"/>
        <v>25884</v>
      </c>
      <c r="AD10" s="205">
        <f t="shared" si="2"/>
        <v>11321</v>
      </c>
      <c r="AE10" s="204">
        <f>SUM(AC10*'Factors &amp; Percentages'!$E$27+AD10*'Factors &amp; Percentages'!$E$28)</f>
        <v>3109.4716828583669</v>
      </c>
      <c r="AF10" s="16"/>
      <c r="AG10" s="125">
        <v>0.8</v>
      </c>
      <c r="AH10" s="204">
        <f>AG10*'Factors &amp; Percentages'!$E$31</f>
        <v>10479.876871004395</v>
      </c>
      <c r="AI10" s="18"/>
      <c r="AJ10" s="126">
        <v>1613</v>
      </c>
      <c r="AK10" s="204">
        <f>AJ10*'Factors &amp; Percentages'!$E$34</f>
        <v>3374.9929061967355</v>
      </c>
      <c r="AL10" s="18"/>
      <c r="AM10" s="124">
        <v>20</v>
      </c>
      <c r="AN10" s="211">
        <v>20</v>
      </c>
      <c r="AO10" s="124">
        <v>59</v>
      </c>
      <c r="AP10" s="212">
        <v>57</v>
      </c>
      <c r="AQ10" s="135">
        <v>13871</v>
      </c>
      <c r="AR10" s="179">
        <f t="shared" si="3"/>
        <v>13871</v>
      </c>
      <c r="AS10" s="205">
        <f>AN10*'Factors &amp; Percentages'!$E$37+AP10*'Factors &amp; Percentages'!$E$38+AR10*'Factors &amp; Percentages'!$E$39</f>
        <v>6653.5753064479068</v>
      </c>
      <c r="AT10" s="18"/>
      <c r="AU10" s="203">
        <f t="shared" si="4"/>
        <v>23617.916766507402</v>
      </c>
      <c r="AV10" s="213">
        <f t="shared" si="5"/>
        <v>16758.3</v>
      </c>
      <c r="AW10" s="196">
        <f>IF($BG10&gt;$AV10,$BG10*(1+'Factors &amp; Percentages'!$B$24),
IF($AU10&gt;$AV10,$AV10,
IF($AU10&gt;$BG10,$AU10,
$BG10*(1+'Factors &amp; Percentages'!$B$24))))</f>
        <v>16758.3</v>
      </c>
      <c r="AX10" s="185">
        <f t="shared" si="6"/>
        <v>16758.3</v>
      </c>
      <c r="AY10" s="127"/>
      <c r="AZ10" s="27"/>
      <c r="BA10" s="223">
        <v>25302.375584910267</v>
      </c>
      <c r="BB10" s="185">
        <v>18983.25</v>
      </c>
      <c r="BC10" s="204">
        <v>20475</v>
      </c>
      <c r="BD10" s="218">
        <v>19803</v>
      </c>
      <c r="BE10" s="224">
        <v>21024.05</v>
      </c>
      <c r="BF10" s="219"/>
      <c r="BG10" s="221">
        <v>12000</v>
      </c>
      <c r="BH10" s="226">
        <v>18000</v>
      </c>
      <c r="BI10" s="220">
        <v>18000</v>
      </c>
      <c r="BJ10" s="227">
        <v>19500</v>
      </c>
      <c r="BK10" s="221">
        <v>19320</v>
      </c>
      <c r="BL10" s="128">
        <v>18400</v>
      </c>
      <c r="BM10" s="128">
        <v>18000</v>
      </c>
    </row>
    <row r="11" spans="1:65" x14ac:dyDescent="0.3">
      <c r="A11" s="111" t="s">
        <v>18</v>
      </c>
      <c r="B11" s="111" t="s">
        <v>18</v>
      </c>
      <c r="C11" s="112" t="s">
        <v>18</v>
      </c>
      <c r="D11" s="113" t="s">
        <v>279</v>
      </c>
      <c r="E11" s="113" t="s">
        <v>279</v>
      </c>
      <c r="F11" s="111"/>
      <c r="G11" s="46">
        <f t="shared" si="0"/>
        <v>43110.9</v>
      </c>
      <c r="H11" s="111"/>
      <c r="I11" s="114">
        <v>61546</v>
      </c>
      <c r="J11" s="47">
        <v>71417</v>
      </c>
      <c r="K11" s="47">
        <v>60845</v>
      </c>
      <c r="L11" s="15">
        <v>60144</v>
      </c>
      <c r="M11" s="47">
        <v>71523</v>
      </c>
      <c r="N11" s="114">
        <v>57577</v>
      </c>
      <c r="O11" s="47">
        <v>92454</v>
      </c>
      <c r="P11" s="47">
        <v>106536</v>
      </c>
      <c r="Q11" s="16">
        <v>139152</v>
      </c>
      <c r="R11" s="47">
        <v>137778</v>
      </c>
      <c r="S11" s="47"/>
      <c r="T11" s="114">
        <v>37367</v>
      </c>
      <c r="U11" s="47">
        <v>63654</v>
      </c>
      <c r="V11" s="47">
        <v>91917</v>
      </c>
      <c r="W11" s="47">
        <v>108559</v>
      </c>
      <c r="X11" s="114">
        <v>22576</v>
      </c>
      <c r="Y11" s="47">
        <v>17420</v>
      </c>
      <c r="Z11" s="47">
        <v>10852</v>
      </c>
      <c r="AA11" s="47">
        <v>5255</v>
      </c>
      <c r="AB11" s="47"/>
      <c r="AC11" s="16">
        <f t="shared" si="1"/>
        <v>63803.6</v>
      </c>
      <c r="AD11" s="16">
        <f t="shared" si="2"/>
        <v>61313.7</v>
      </c>
      <c r="AE11" s="16">
        <f>SUM(AC11*'Factors &amp; Percentages'!$E$27+AD11*'Factors &amp; Percentages'!$E$28)</f>
        <v>9909.1910861669166</v>
      </c>
      <c r="AF11" s="16"/>
      <c r="AG11" s="101">
        <v>1</v>
      </c>
      <c r="AH11" s="18">
        <f>AG11*'Factors &amp; Percentages'!$E$31</f>
        <v>13099.846088755494</v>
      </c>
      <c r="AI11" s="18"/>
      <c r="AJ11" s="18">
        <v>839</v>
      </c>
      <c r="AK11" s="18">
        <f>AJ11*'Factors &amp; Percentages'!$E$34</f>
        <v>1755.4984800366155</v>
      </c>
      <c r="AL11" s="18"/>
      <c r="AM11" s="30">
        <v>47</v>
      </c>
      <c r="AN11" s="30">
        <v>46</v>
      </c>
      <c r="AO11" s="18">
        <v>80</v>
      </c>
      <c r="AP11" s="116">
        <v>81</v>
      </c>
      <c r="AQ11" s="115">
        <v>19198</v>
      </c>
      <c r="AR11" s="115">
        <f t="shared" si="3"/>
        <v>19198</v>
      </c>
      <c r="AS11" s="18">
        <f>AN11*'Factors &amp; Percentages'!$E$37+AP11*'Factors &amp; Percentages'!$E$38+AR11*'Factors &amp; Percentages'!$E$39</f>
        <v>11534.014442548341</v>
      </c>
      <c r="AT11" s="18"/>
      <c r="AU11" s="18">
        <f t="shared" si="4"/>
        <v>36298.550097507366</v>
      </c>
      <c r="AV11" s="69">
        <f t="shared" si="5"/>
        <v>36298.550097507366</v>
      </c>
      <c r="AW11" s="46">
        <f>IF($BG11&gt;$AV11,$BG11*(1+'Factors &amp; Percentages'!$B$24),
IF($AU11&gt;$AV11,$AV11,
IF($AU11&gt;$BG11,$AU11,
$BG11*(1+'Factors &amp; Percentages'!$B$24))))</f>
        <v>43110.9</v>
      </c>
      <c r="AX11" s="46">
        <f t="shared" si="6"/>
        <v>43110.9</v>
      </c>
      <c r="AY11" s="69"/>
      <c r="AZ11" s="27"/>
      <c r="BA11" s="21">
        <v>41058.15</v>
      </c>
      <c r="BB11" s="46">
        <v>39103.050000000003</v>
      </c>
      <c r="BC11" s="119">
        <v>39094</v>
      </c>
      <c r="BD11" s="120">
        <v>46489.950000000004</v>
      </c>
      <c r="BE11" s="120">
        <v>53812.499999999993</v>
      </c>
      <c r="BF11" s="69"/>
      <c r="BG11" s="73">
        <v>41058</v>
      </c>
      <c r="BH11" s="73">
        <v>39103</v>
      </c>
      <c r="BI11" s="117">
        <v>37241</v>
      </c>
      <c r="BJ11" s="118">
        <v>35000</v>
      </c>
      <c r="BK11" s="106">
        <v>30000</v>
      </c>
      <c r="BL11" s="106">
        <v>52500</v>
      </c>
      <c r="BM11" s="106">
        <v>50000</v>
      </c>
    </row>
    <row r="12" spans="1:65" x14ac:dyDescent="0.3">
      <c r="A12" s="121" t="s">
        <v>300</v>
      </c>
      <c r="B12" s="121" t="s">
        <v>301</v>
      </c>
      <c r="C12" s="174" t="s">
        <v>214</v>
      </c>
      <c r="D12" s="122" t="s">
        <v>302</v>
      </c>
      <c r="E12" s="173" t="s">
        <v>303</v>
      </c>
      <c r="F12" s="111"/>
      <c r="G12" s="185">
        <f t="shared" si="0"/>
        <v>51245.951133281444</v>
      </c>
      <c r="H12" s="186"/>
      <c r="I12" s="187">
        <v>127338</v>
      </c>
      <c r="J12" s="188">
        <v>118659</v>
      </c>
      <c r="K12" s="189">
        <v>91854</v>
      </c>
      <c r="L12" s="123">
        <v>74033</v>
      </c>
      <c r="M12" s="123">
        <v>58769</v>
      </c>
      <c r="N12" s="190">
        <v>85506</v>
      </c>
      <c r="O12" s="189">
        <v>63959</v>
      </c>
      <c r="P12" s="188">
        <v>40708</v>
      </c>
      <c r="Q12" s="208">
        <v>35946</v>
      </c>
      <c r="R12" s="123">
        <v>6047</v>
      </c>
      <c r="S12" s="188"/>
      <c r="T12" s="187">
        <v>38313</v>
      </c>
      <c r="U12" s="188">
        <v>35710</v>
      </c>
      <c r="V12" s="189">
        <v>36918</v>
      </c>
      <c r="W12" s="123">
        <v>37216</v>
      </c>
      <c r="X12" s="190">
        <v>1819</v>
      </c>
      <c r="Y12" s="189">
        <v>816</v>
      </c>
      <c r="Z12" s="188">
        <v>5240</v>
      </c>
      <c r="AA12" s="123">
        <v>3407</v>
      </c>
      <c r="AB12" s="191"/>
      <c r="AC12" s="204">
        <f t="shared" si="1"/>
        <v>127519.9</v>
      </c>
      <c r="AD12" s="205">
        <f t="shared" si="2"/>
        <v>89337.3</v>
      </c>
      <c r="AE12" s="204">
        <f>SUM(AC12*'Factors &amp; Percentages'!$E$27+AD12*'Factors &amp; Percentages'!$E$28)</f>
        <v>17573.957629295946</v>
      </c>
      <c r="AF12" s="16"/>
      <c r="AG12" s="125">
        <v>1</v>
      </c>
      <c r="AH12" s="204">
        <f>AG12*'Factors &amp; Percentages'!$E$31</f>
        <v>13099.846088755494</v>
      </c>
      <c r="AI12" s="18"/>
      <c r="AJ12" s="126">
        <v>3217</v>
      </c>
      <c r="AK12" s="204">
        <f>AJ12*'Factors &amp; Percentages'!$E$34</f>
        <v>6731.1544818567254</v>
      </c>
      <c r="AL12" s="18"/>
      <c r="AM12" s="124">
        <v>55</v>
      </c>
      <c r="AN12" s="211">
        <v>70</v>
      </c>
      <c r="AO12" s="124">
        <v>130</v>
      </c>
      <c r="AP12" s="212">
        <v>134</v>
      </c>
      <c r="AQ12" s="135">
        <v>9809</v>
      </c>
      <c r="AR12" s="179">
        <f t="shared" si="3"/>
        <v>9809</v>
      </c>
      <c r="AS12" s="205">
        <f>AN12*'Factors &amp; Percentages'!$E$37+AP12*'Factors &amp; Percentages'!$E$38+AR12*'Factors &amp; Percentages'!$E$39</f>
        <v>13840.992933373278</v>
      </c>
      <c r="AT12" s="18"/>
      <c r="AU12" s="203">
        <f t="shared" si="4"/>
        <v>51245.951133281444</v>
      </c>
      <c r="AV12" s="213">
        <f t="shared" si="5"/>
        <v>51245.951133281444</v>
      </c>
      <c r="AW12" s="196">
        <f>IF($BG12&gt;$AV12,$BG12*(1+'Factors &amp; Percentages'!$B$24),
IF($AU12&gt;$AV12,$AV12,
IF($AU12&gt;$BG12,$AU12,
$BG12*(1+'Factors &amp; Percentages'!$B$24))))</f>
        <v>51245.951133281444</v>
      </c>
      <c r="AX12" s="185">
        <f t="shared" si="6"/>
        <v>51245.951133281444</v>
      </c>
      <c r="AY12" s="127"/>
      <c r="AZ12" s="27"/>
      <c r="BA12" s="223">
        <v>42961.631501659765</v>
      </c>
      <c r="BB12" s="185">
        <v>37107</v>
      </c>
      <c r="BC12" s="204">
        <v>48121</v>
      </c>
      <c r="BD12" s="218">
        <v>38199.85</v>
      </c>
      <c r="BE12" s="224">
        <v>49962.065334068575</v>
      </c>
      <c r="BF12" s="219"/>
      <c r="BG12" s="221">
        <v>33000</v>
      </c>
      <c r="BH12" s="226">
        <v>25000</v>
      </c>
      <c r="BI12" s="220">
        <v>25000</v>
      </c>
      <c r="BJ12" s="227">
        <v>19500</v>
      </c>
      <c r="BK12" s="221">
        <v>25000</v>
      </c>
      <c r="BL12" s="128">
        <v>46949</v>
      </c>
      <c r="BM12" s="128">
        <v>44713</v>
      </c>
    </row>
    <row r="13" spans="1:65" x14ac:dyDescent="0.3">
      <c r="A13" s="111" t="s">
        <v>304</v>
      </c>
      <c r="B13" s="111" t="s">
        <v>305</v>
      </c>
      <c r="C13" s="112" t="s">
        <v>215</v>
      </c>
      <c r="D13" s="113" t="s">
        <v>302</v>
      </c>
      <c r="E13" s="113" t="s">
        <v>303</v>
      </c>
      <c r="F13" s="111"/>
      <c r="G13" s="46">
        <f t="shared" si="0"/>
        <v>23495.807689560286</v>
      </c>
      <c r="H13" s="111"/>
      <c r="I13" s="114">
        <v>37518</v>
      </c>
      <c r="J13" s="47">
        <v>37518</v>
      </c>
      <c r="K13" s="47">
        <v>30545</v>
      </c>
      <c r="L13" s="47">
        <v>37377</v>
      </c>
      <c r="M13" s="47">
        <v>30810</v>
      </c>
      <c r="N13" s="114">
        <v>47615</v>
      </c>
      <c r="O13" s="47">
        <v>47615</v>
      </c>
      <c r="P13" s="47">
        <v>54080</v>
      </c>
      <c r="Q13" s="115">
        <v>42712</v>
      </c>
      <c r="R13" s="47">
        <v>45671</v>
      </c>
      <c r="S13" s="47"/>
      <c r="T13" s="114">
        <v>0</v>
      </c>
      <c r="U13" s="47">
        <v>0</v>
      </c>
      <c r="V13" s="47">
        <v>0</v>
      </c>
      <c r="W13" s="47">
        <v>0</v>
      </c>
      <c r="X13" s="114">
        <v>0</v>
      </c>
      <c r="Y13" s="47">
        <v>0</v>
      </c>
      <c r="Z13" s="47">
        <v>0</v>
      </c>
      <c r="AA13" s="47">
        <v>0</v>
      </c>
      <c r="AB13" s="47"/>
      <c r="AC13" s="16">
        <f t="shared" si="1"/>
        <v>37518</v>
      </c>
      <c r="AD13" s="16">
        <f t="shared" si="2"/>
        <v>47615</v>
      </c>
      <c r="AE13" s="16">
        <f>SUM(AC13*'Factors &amp; Percentages'!$E$27+AD13*'Factors &amp; Percentages'!$E$28)</f>
        <v>6603.5361779929517</v>
      </c>
      <c r="AF13" s="16"/>
      <c r="AG13" s="101">
        <v>0.5</v>
      </c>
      <c r="AH13" s="18">
        <f>AG13*'Factors &amp; Percentages'!$E$31</f>
        <v>6549.9230443777469</v>
      </c>
      <c r="AI13" s="18"/>
      <c r="AJ13" s="18">
        <v>981</v>
      </c>
      <c r="AK13" s="18">
        <f>AJ13*'Factors &amp; Percentages'!$E$34</f>
        <v>2052.6150285052681</v>
      </c>
      <c r="AL13" s="18"/>
      <c r="AM13" s="137">
        <v>45</v>
      </c>
      <c r="AN13" s="30">
        <v>45</v>
      </c>
      <c r="AO13" s="137">
        <v>89</v>
      </c>
      <c r="AP13" s="116">
        <v>89</v>
      </c>
      <c r="AQ13" s="115">
        <v>3000</v>
      </c>
      <c r="AR13" s="115">
        <f t="shared" si="3"/>
        <v>3000</v>
      </c>
      <c r="AS13" s="18">
        <f>AN13*'Factors &amp; Percentages'!$E$37+AP13*'Factors &amp; Percentages'!$E$38+AR13*'Factors &amp; Percentages'!$E$39</f>
        <v>8289.7334386843213</v>
      </c>
      <c r="AT13" s="18"/>
      <c r="AU13" s="18">
        <f t="shared" si="4"/>
        <v>23495.807689560286</v>
      </c>
      <c r="AV13" s="69">
        <f t="shared" si="5"/>
        <v>23495.807689560286</v>
      </c>
      <c r="AW13" s="46">
        <f>IF($BG13&gt;$AV13,$BG13*(1+'Factors &amp; Percentages'!$B$24),
IF($AU13&gt;$AV13,$AV13,
IF($AU13&gt;$BG13,$AU13,
$BG13*(1+'Factors &amp; Percentages'!$B$24))))</f>
        <v>23495.807689560286</v>
      </c>
      <c r="AX13" s="46">
        <f t="shared" si="6"/>
        <v>23495.807689560286</v>
      </c>
      <c r="AY13" s="69"/>
      <c r="AZ13" s="27"/>
      <c r="BA13" s="21">
        <v>21241.35102289142</v>
      </c>
      <c r="BB13" s="46">
        <v>20096</v>
      </c>
      <c r="BC13" s="119">
        <v>24295</v>
      </c>
      <c r="BD13" s="120">
        <v>20026.5</v>
      </c>
      <c r="BE13" s="120">
        <v>19257.554914045057</v>
      </c>
      <c r="BF13" s="69"/>
      <c r="BG13" s="73">
        <v>5000</v>
      </c>
      <c r="BH13" s="73">
        <v>3000</v>
      </c>
      <c r="BI13" s="117">
        <v>5000</v>
      </c>
      <c r="BJ13" s="118">
        <v>12000</v>
      </c>
      <c r="BK13" s="106">
        <v>16500</v>
      </c>
      <c r="BL13" s="106">
        <v>16000</v>
      </c>
      <c r="BM13" s="106">
        <v>15500</v>
      </c>
    </row>
    <row r="14" spans="1:65" x14ac:dyDescent="0.3">
      <c r="A14" s="121" t="s">
        <v>306</v>
      </c>
      <c r="B14" s="121" t="s">
        <v>307</v>
      </c>
      <c r="C14" s="174" t="s">
        <v>216</v>
      </c>
      <c r="D14" s="122" t="s">
        <v>302</v>
      </c>
      <c r="E14" s="173" t="s">
        <v>303</v>
      </c>
      <c r="F14" s="111"/>
      <c r="G14" s="185">
        <f t="shared" si="0"/>
        <v>40859.175197413337</v>
      </c>
      <c r="H14" s="186"/>
      <c r="I14" s="187">
        <v>49076</v>
      </c>
      <c r="J14" s="188">
        <v>43915</v>
      </c>
      <c r="K14" s="189">
        <v>46747</v>
      </c>
      <c r="L14" s="123">
        <v>33780</v>
      </c>
      <c r="M14" s="123">
        <v>33928</v>
      </c>
      <c r="N14" s="190">
        <v>61115</v>
      </c>
      <c r="O14" s="189">
        <v>75771</v>
      </c>
      <c r="P14" s="188">
        <v>71444</v>
      </c>
      <c r="Q14" s="208">
        <v>67881</v>
      </c>
      <c r="R14" s="123">
        <v>50514</v>
      </c>
      <c r="S14" s="188"/>
      <c r="T14" s="187">
        <v>1507</v>
      </c>
      <c r="U14" s="188">
        <v>1596</v>
      </c>
      <c r="V14" s="189">
        <v>2763</v>
      </c>
      <c r="W14" s="123">
        <v>14700</v>
      </c>
      <c r="X14" s="190">
        <v>839</v>
      </c>
      <c r="Y14" s="189">
        <v>1216</v>
      </c>
      <c r="Z14" s="188">
        <v>565</v>
      </c>
      <c r="AA14" s="123">
        <v>838</v>
      </c>
      <c r="AB14" s="191"/>
      <c r="AC14" s="204">
        <f t="shared" si="1"/>
        <v>49159.9</v>
      </c>
      <c r="AD14" s="205">
        <f t="shared" si="2"/>
        <v>61265.7</v>
      </c>
      <c r="AE14" s="204">
        <f>SUM(AC14*'Factors &amp; Percentages'!$E$27+AD14*'Factors &amp; Percentages'!$E$28)</f>
        <v>8577.090764155746</v>
      </c>
      <c r="AF14" s="16"/>
      <c r="AG14" s="125">
        <v>1</v>
      </c>
      <c r="AH14" s="204">
        <f>AG14*'Factors &amp; Percentages'!$E$31</f>
        <v>13099.846088755494</v>
      </c>
      <c r="AI14" s="18"/>
      <c r="AJ14" s="126">
        <v>4481</v>
      </c>
      <c r="AK14" s="204">
        <f>AJ14*'Factors &amp; Percentages'!$E$34</f>
        <v>9375.9102372396592</v>
      </c>
      <c r="AL14" s="18"/>
      <c r="AM14" s="124">
        <v>35</v>
      </c>
      <c r="AN14" s="211">
        <v>38</v>
      </c>
      <c r="AO14" s="124">
        <v>109</v>
      </c>
      <c r="AP14" s="212">
        <v>104</v>
      </c>
      <c r="AQ14" s="135">
        <v>12963</v>
      </c>
      <c r="AR14" s="179">
        <f t="shared" si="3"/>
        <v>12963</v>
      </c>
      <c r="AS14" s="205">
        <f>AN14*'Factors &amp; Percentages'!$E$37+AP14*'Factors &amp; Percentages'!$E$38+AR14*'Factors &amp; Percentages'!$E$39</f>
        <v>9806.3281072624377</v>
      </c>
      <c r="AT14" s="18"/>
      <c r="AU14" s="203">
        <f t="shared" si="4"/>
        <v>40859.175197413337</v>
      </c>
      <c r="AV14" s="213">
        <f t="shared" si="5"/>
        <v>40859.175197413337</v>
      </c>
      <c r="AW14" s="196">
        <f>IF($BG14&gt;$AV14,$BG14*(1+'Factors &amp; Percentages'!$B$24),
IF($AU14&gt;$AV14,$AV14,
IF($AU14&gt;$BG14,$AU14,
$BG14*(1+'Factors &amp; Percentages'!$B$24))))</f>
        <v>40859.175197413337</v>
      </c>
      <c r="AX14" s="185">
        <f t="shared" si="6"/>
        <v>40859.175197413337</v>
      </c>
      <c r="AY14" s="127"/>
      <c r="AZ14" s="27"/>
      <c r="BA14" s="223">
        <v>37420.608895158221</v>
      </c>
      <c r="BB14" s="185">
        <v>35529</v>
      </c>
      <c r="BC14" s="204">
        <v>21957</v>
      </c>
      <c r="BD14" s="218">
        <v>22053.200000000001</v>
      </c>
      <c r="BE14" s="224">
        <v>36785.4</v>
      </c>
      <c r="BF14" s="219"/>
      <c r="BG14" s="221">
        <v>27600</v>
      </c>
      <c r="BH14" s="226">
        <v>28800</v>
      </c>
      <c r="BI14" s="220">
        <v>16000</v>
      </c>
      <c r="BJ14" s="227">
        <v>20000</v>
      </c>
      <c r="BK14" s="221">
        <v>16500</v>
      </c>
      <c r="BL14" s="128">
        <v>15000</v>
      </c>
      <c r="BM14" s="128">
        <v>31055</v>
      </c>
    </row>
    <row r="15" spans="1:65" x14ac:dyDescent="0.3">
      <c r="A15" s="111" t="s">
        <v>308</v>
      </c>
      <c r="B15" s="111" t="s">
        <v>309</v>
      </c>
      <c r="C15" s="112" t="s">
        <v>217</v>
      </c>
      <c r="D15" s="113" t="s">
        <v>302</v>
      </c>
      <c r="E15" s="113" t="s">
        <v>303</v>
      </c>
      <c r="F15" s="111"/>
      <c r="G15" s="46">
        <f t="shared" si="0"/>
        <v>8252.4</v>
      </c>
      <c r="H15" s="111"/>
      <c r="I15" s="114">
        <v>12696</v>
      </c>
      <c r="J15" s="47">
        <v>6224</v>
      </c>
      <c r="K15" s="47">
        <v>16628</v>
      </c>
      <c r="L15" s="47">
        <v>15423</v>
      </c>
      <c r="M15" s="47">
        <v>4807</v>
      </c>
      <c r="N15" s="114">
        <v>6021</v>
      </c>
      <c r="O15" s="47">
        <v>5194</v>
      </c>
      <c r="P15" s="47">
        <v>8182</v>
      </c>
      <c r="Q15" s="115">
        <v>6198</v>
      </c>
      <c r="R15" s="47">
        <v>8054</v>
      </c>
      <c r="S15" s="47"/>
      <c r="T15" s="114">
        <v>17284</v>
      </c>
      <c r="U15" s="47">
        <v>36250</v>
      </c>
      <c r="V15" s="47">
        <v>30314</v>
      </c>
      <c r="W15" s="47">
        <v>19211</v>
      </c>
      <c r="X15" s="114">
        <v>11005</v>
      </c>
      <c r="Y15" s="47">
        <v>13235</v>
      </c>
      <c r="Z15" s="47">
        <v>11103</v>
      </c>
      <c r="AA15" s="47">
        <v>3835</v>
      </c>
      <c r="AB15" s="47"/>
      <c r="AC15" s="16">
        <f t="shared" si="1"/>
        <v>13796.5</v>
      </c>
      <c r="AD15" s="16">
        <f t="shared" si="2"/>
        <v>7749.4</v>
      </c>
      <c r="AE15" s="16">
        <f>SUM(AC15*'Factors &amp; Percentages'!$E$27+AD15*'Factors &amp; Percentages'!$E$28)</f>
        <v>1772.6162778030243</v>
      </c>
      <c r="AF15" s="16"/>
      <c r="AG15" s="101">
        <v>0.5</v>
      </c>
      <c r="AH15" s="18">
        <f>AG15*'Factors &amp; Percentages'!$E$31</f>
        <v>6549.9230443777469</v>
      </c>
      <c r="AI15" s="18"/>
      <c r="AJ15" s="18">
        <v>233</v>
      </c>
      <c r="AK15" s="18">
        <f>AJ15*'Factors &amp; Percentages'!$E$34</f>
        <v>487.52222389574666</v>
      </c>
      <c r="AL15" s="18"/>
      <c r="AM15" s="137">
        <v>35</v>
      </c>
      <c r="AN15" s="30">
        <v>15</v>
      </c>
      <c r="AO15" s="137">
        <v>31</v>
      </c>
      <c r="AP15" s="116">
        <v>32</v>
      </c>
      <c r="AQ15" s="115">
        <v>6187</v>
      </c>
      <c r="AR15" s="115">
        <f t="shared" si="3"/>
        <v>6187</v>
      </c>
      <c r="AS15" s="18">
        <f>AN15*'Factors &amp; Percentages'!$E$37+AP15*'Factors &amp; Percentages'!$E$38+AR15*'Factors &amp; Percentages'!$E$39</f>
        <v>3877.1471896700414</v>
      </c>
      <c r="AT15" s="18"/>
      <c r="AU15" s="18">
        <f t="shared" si="4"/>
        <v>12687.208735746561</v>
      </c>
      <c r="AV15" s="69">
        <f t="shared" si="5"/>
        <v>8252.4</v>
      </c>
      <c r="AW15" s="46">
        <f>IF($BG15&gt;$AV15,$BG15*(1+'Factors &amp; Percentages'!$B$24),
IF($AU15&gt;$AV15,$AV15,
IF($AU15&gt;$BG15,$AU15,
$BG15*(1+'Factors &amp; Percentages'!$B$24))))</f>
        <v>8252.4</v>
      </c>
      <c r="AX15" s="46">
        <f t="shared" si="6"/>
        <v>8252.4</v>
      </c>
      <c r="AY15" s="69"/>
      <c r="AZ15" s="27"/>
      <c r="BA15" s="21">
        <v>6300</v>
      </c>
      <c r="BB15" s="46">
        <v>10808.2</v>
      </c>
      <c r="BC15" s="119">
        <v>10025</v>
      </c>
      <c r="BD15" s="120">
        <v>5637.4999999999991</v>
      </c>
      <c r="BE15" s="120">
        <v>6882.55</v>
      </c>
      <c r="BF15" s="69"/>
      <c r="BG15" s="73">
        <v>6000</v>
      </c>
      <c r="BH15" s="73">
        <v>6000</v>
      </c>
      <c r="BI15" s="117">
        <v>5750</v>
      </c>
      <c r="BJ15" s="118">
        <v>5638</v>
      </c>
      <c r="BK15" s="106">
        <v>5500</v>
      </c>
      <c r="BL15" s="106">
        <v>5500</v>
      </c>
      <c r="BM15" s="106">
        <v>5500</v>
      </c>
    </row>
    <row r="16" spans="1:65" x14ac:dyDescent="0.3">
      <c r="A16" s="121" t="s">
        <v>310</v>
      </c>
      <c r="B16" s="121" t="s">
        <v>311</v>
      </c>
      <c r="C16" s="174" t="s">
        <v>272</v>
      </c>
      <c r="D16" s="122" t="s">
        <v>302</v>
      </c>
      <c r="E16" s="173" t="s">
        <v>112</v>
      </c>
      <c r="F16" s="111"/>
      <c r="G16" s="185">
        <f t="shared" si="0"/>
        <v>20952.75</v>
      </c>
      <c r="H16" s="186"/>
      <c r="I16" s="187">
        <v>33335</v>
      </c>
      <c r="J16" s="188">
        <v>36623</v>
      </c>
      <c r="K16" s="189">
        <v>39985</v>
      </c>
      <c r="L16" s="123">
        <v>23182</v>
      </c>
      <c r="M16" s="123">
        <v>23715</v>
      </c>
      <c r="N16" s="190">
        <v>42450</v>
      </c>
      <c r="O16" s="189">
        <v>42724</v>
      </c>
      <c r="P16" s="188">
        <v>30400</v>
      </c>
      <c r="Q16" s="208">
        <v>21495</v>
      </c>
      <c r="R16" s="123">
        <v>26630</v>
      </c>
      <c r="S16" s="188"/>
      <c r="T16" s="187">
        <v>11829</v>
      </c>
      <c r="U16" s="188">
        <v>11416</v>
      </c>
      <c r="V16" s="189">
        <v>12787</v>
      </c>
      <c r="W16" s="123">
        <v>10480</v>
      </c>
      <c r="X16" s="190">
        <v>3270</v>
      </c>
      <c r="Y16" s="189">
        <v>0</v>
      </c>
      <c r="Z16" s="188">
        <v>0</v>
      </c>
      <c r="AA16" s="123">
        <v>1100</v>
      </c>
      <c r="AB16" s="191"/>
      <c r="AC16" s="204">
        <f t="shared" si="1"/>
        <v>33662</v>
      </c>
      <c r="AD16" s="205">
        <f t="shared" si="2"/>
        <v>43632.9</v>
      </c>
      <c r="AE16" s="204">
        <f>SUM(AC16*'Factors &amp; Percentages'!$E$27+AD16*'Factors &amp; Percentages'!$E$28)</f>
        <v>5986.0885064620361</v>
      </c>
      <c r="AF16" s="16"/>
      <c r="AG16" s="125">
        <v>0.5</v>
      </c>
      <c r="AH16" s="204">
        <f>AG16*'Factors &amp; Percentages'!$E$31</f>
        <v>6549.9230443777469</v>
      </c>
      <c r="AI16" s="18"/>
      <c r="AJ16" s="126">
        <v>602</v>
      </c>
      <c r="AK16" s="204">
        <f>AJ16*'Factors &amp; Percentages'!$E$34</f>
        <v>1259.6067759023153</v>
      </c>
      <c r="AL16" s="18"/>
      <c r="AM16" s="124">
        <v>25</v>
      </c>
      <c r="AN16" s="211">
        <v>26</v>
      </c>
      <c r="AO16" s="124">
        <v>52</v>
      </c>
      <c r="AP16" s="212">
        <v>53</v>
      </c>
      <c r="AQ16" s="135">
        <v>6217</v>
      </c>
      <c r="AR16" s="179">
        <f t="shared" si="3"/>
        <v>6217</v>
      </c>
      <c r="AS16" s="205">
        <f>AN16*'Factors &amp; Percentages'!$E$37+AP16*'Factors &amp; Percentages'!$E$38+AR16*'Factors &amp; Percentages'!$E$39</f>
        <v>5742.1885373934165</v>
      </c>
      <c r="AT16" s="18"/>
      <c r="AU16" s="203">
        <f t="shared" si="4"/>
        <v>19537.806864135513</v>
      </c>
      <c r="AV16" s="213">
        <f t="shared" si="5"/>
        <v>19537.806864135513</v>
      </c>
      <c r="AW16" s="196">
        <f>IF($BG16&gt;$AV16,$BG16*(1+'Factors &amp; Percentages'!$B$24),
IF($AU16&gt;$AV16,$AV16,
IF($AU16&gt;$BG16,$AU16,
$BG16*(1+'Factors &amp; Percentages'!$B$24))))</f>
        <v>20952.75</v>
      </c>
      <c r="AX16" s="185">
        <f t="shared" si="6"/>
        <v>20952.75</v>
      </c>
      <c r="AY16" s="127"/>
      <c r="AZ16" s="27"/>
      <c r="BA16" s="223">
        <v>19955.25</v>
      </c>
      <c r="BB16" s="185">
        <v>19005</v>
      </c>
      <c r="BC16" s="204">
        <v>18577</v>
      </c>
      <c r="BD16" s="218">
        <v>17691.5</v>
      </c>
      <c r="BE16" s="224">
        <v>18985.05</v>
      </c>
      <c r="BF16" s="219"/>
      <c r="BG16" s="221">
        <v>19955</v>
      </c>
      <c r="BH16" s="226">
        <v>19005</v>
      </c>
      <c r="BI16" s="220">
        <v>18100</v>
      </c>
      <c r="BJ16" s="227">
        <v>17692</v>
      </c>
      <c r="BK16" s="221">
        <v>17260</v>
      </c>
      <c r="BL16" s="128">
        <v>18522</v>
      </c>
      <c r="BM16" s="128">
        <v>18522</v>
      </c>
    </row>
    <row r="17" spans="1:65" x14ac:dyDescent="0.3">
      <c r="A17" s="111" t="s">
        <v>312</v>
      </c>
      <c r="B17" s="111" t="s">
        <v>313</v>
      </c>
      <c r="C17" s="112" t="s">
        <v>73</v>
      </c>
      <c r="D17" s="113" t="s">
        <v>279</v>
      </c>
      <c r="E17" s="113" t="s">
        <v>314</v>
      </c>
      <c r="F17" s="111"/>
      <c r="G17" s="46">
        <f t="shared" si="0"/>
        <v>62466.54518546912</v>
      </c>
      <c r="H17" s="111"/>
      <c r="I17" s="114">
        <v>101646</v>
      </c>
      <c r="J17" s="47">
        <v>106065</v>
      </c>
      <c r="K17" s="47">
        <v>122932</v>
      </c>
      <c r="L17" s="47">
        <v>98302</v>
      </c>
      <c r="M17" s="47">
        <v>98689</v>
      </c>
      <c r="N17" s="114">
        <v>54780</v>
      </c>
      <c r="O17" s="47">
        <v>66055</v>
      </c>
      <c r="P17" s="47">
        <v>81920</v>
      </c>
      <c r="Q17" s="115">
        <v>87992</v>
      </c>
      <c r="R17" s="47">
        <v>68955</v>
      </c>
      <c r="S17" s="47"/>
      <c r="T17" s="114">
        <v>68739</v>
      </c>
      <c r="U17" s="47">
        <v>54216</v>
      </c>
      <c r="V17" s="47">
        <v>54720</v>
      </c>
      <c r="W17" s="47">
        <v>53705</v>
      </c>
      <c r="X17" s="114">
        <v>112789</v>
      </c>
      <c r="Y17" s="47">
        <v>48662</v>
      </c>
      <c r="Z17" s="47">
        <v>55473</v>
      </c>
      <c r="AA17" s="47">
        <v>64055</v>
      </c>
      <c r="AB17" s="47"/>
      <c r="AC17" s="16">
        <f t="shared" si="1"/>
        <v>112924.9</v>
      </c>
      <c r="AD17" s="16">
        <f t="shared" si="2"/>
        <v>61653.9</v>
      </c>
      <c r="AE17" s="16">
        <f>SUM(AC17*'Factors &amp; Percentages'!$E$27+AD17*'Factors &amp; Percentages'!$E$28)</f>
        <v>14389.66960297816</v>
      </c>
      <c r="AF17" s="16"/>
      <c r="AG17" s="101">
        <v>0.9</v>
      </c>
      <c r="AH17" s="18">
        <f>AG17*'Factors &amp; Percentages'!$E$31</f>
        <v>11789.861479879944</v>
      </c>
      <c r="AI17" s="18"/>
      <c r="AJ17" s="18">
        <v>10541</v>
      </c>
      <c r="AK17" s="18">
        <f>AJ17*'Factors &amp; Percentages'!$E$34</f>
        <v>22055.672798648349</v>
      </c>
      <c r="AL17" s="18"/>
      <c r="AM17" s="30">
        <v>59</v>
      </c>
      <c r="AN17" s="30">
        <v>70</v>
      </c>
      <c r="AO17" s="30">
        <v>191</v>
      </c>
      <c r="AP17" s="116">
        <v>172</v>
      </c>
      <c r="AQ17" s="115">
        <v>7357</v>
      </c>
      <c r="AR17" s="115">
        <f t="shared" si="3"/>
        <v>7357</v>
      </c>
      <c r="AS17" s="18">
        <f>AN17*'Factors &amp; Percentages'!$E$37+AP17*'Factors &amp; Percentages'!$E$38+AR17*'Factors &amp; Percentages'!$E$39</f>
        <v>14231.341303962665</v>
      </c>
      <c r="AT17" s="18"/>
      <c r="AU17" s="18">
        <f t="shared" si="4"/>
        <v>62466.54518546912</v>
      </c>
      <c r="AV17" s="69">
        <f t="shared" si="5"/>
        <v>62466.54518546912</v>
      </c>
      <c r="AW17" s="46">
        <f>IF($BG17&gt;$AV17,$BG17*(1+'Factors &amp; Percentages'!$B$24),
IF($AU17&gt;$AV17,$AV17,
IF($AU17&gt;$BG17,$AU17,
$BG17*(1+'Factors &amp; Percentages'!$B$24))))</f>
        <v>62466.54518546912</v>
      </c>
      <c r="AX17" s="46">
        <f t="shared" si="6"/>
        <v>62466.54518546912</v>
      </c>
      <c r="AY17" s="69"/>
      <c r="AZ17" s="27"/>
      <c r="BA17" s="21">
        <v>56657.694316844078</v>
      </c>
      <c r="BB17" s="46">
        <v>63000</v>
      </c>
      <c r="BC17" s="119">
        <v>73500</v>
      </c>
      <c r="BD17" s="120">
        <v>79278.625</v>
      </c>
      <c r="BE17" s="120">
        <v>77345.357215489246</v>
      </c>
      <c r="BF17" s="69"/>
      <c r="BG17" s="73">
        <v>50000</v>
      </c>
      <c r="BH17" s="73">
        <v>50000</v>
      </c>
      <c r="BI17" s="117">
        <v>60000</v>
      </c>
      <c r="BJ17" s="118">
        <v>70000</v>
      </c>
      <c r="BK17" s="106">
        <v>77345</v>
      </c>
      <c r="BL17" s="106">
        <v>75000</v>
      </c>
      <c r="BM17" s="106">
        <v>85000</v>
      </c>
    </row>
    <row r="18" spans="1:65" x14ac:dyDescent="0.3">
      <c r="A18" s="121" t="s">
        <v>315</v>
      </c>
      <c r="B18" s="121" t="s">
        <v>315</v>
      </c>
      <c r="C18" s="174" t="s">
        <v>259</v>
      </c>
      <c r="D18" s="122" t="s">
        <v>302</v>
      </c>
      <c r="E18" s="173" t="s">
        <v>316</v>
      </c>
      <c r="F18" s="111"/>
      <c r="G18" s="185">
        <f t="shared" si="0"/>
        <v>32149.855452644028</v>
      </c>
      <c r="H18" s="186"/>
      <c r="I18" s="187">
        <v>34113</v>
      </c>
      <c r="J18" s="188">
        <v>49588</v>
      </c>
      <c r="K18" s="189">
        <v>46681</v>
      </c>
      <c r="L18" s="123">
        <v>24453</v>
      </c>
      <c r="M18" s="123">
        <v>32361</v>
      </c>
      <c r="N18" s="190">
        <v>71944</v>
      </c>
      <c r="O18" s="189">
        <v>109403</v>
      </c>
      <c r="P18" s="188">
        <v>97597</v>
      </c>
      <c r="Q18" s="208">
        <v>71075</v>
      </c>
      <c r="R18" s="123">
        <v>74741</v>
      </c>
      <c r="S18" s="188"/>
      <c r="T18" s="187">
        <v>2461</v>
      </c>
      <c r="U18" s="188">
        <v>2169</v>
      </c>
      <c r="V18" s="189">
        <v>3237</v>
      </c>
      <c r="W18" s="123">
        <v>5035</v>
      </c>
      <c r="X18" s="190">
        <v>0</v>
      </c>
      <c r="Y18" s="189">
        <v>90</v>
      </c>
      <c r="Z18" s="188">
        <v>4251</v>
      </c>
      <c r="AA18" s="123">
        <v>1170</v>
      </c>
      <c r="AB18" s="191"/>
      <c r="AC18" s="204">
        <f t="shared" si="1"/>
        <v>34113</v>
      </c>
      <c r="AD18" s="205">
        <f t="shared" si="2"/>
        <v>72190.100000000006</v>
      </c>
      <c r="AE18" s="204">
        <f>SUM(AC18*'Factors &amp; Percentages'!$E$27+AD18*'Factors &amp; Percentages'!$E$28)</f>
        <v>7945.5511701831219</v>
      </c>
      <c r="AF18" s="16"/>
      <c r="AG18" s="125">
        <v>0.5</v>
      </c>
      <c r="AH18" s="204">
        <f>AG18*'Factors &amp; Percentages'!$E$31</f>
        <v>6549.9230443777469</v>
      </c>
      <c r="AI18" s="18"/>
      <c r="AJ18" s="126">
        <v>5658</v>
      </c>
      <c r="AK18" s="204">
        <f>AJ18*'Factors &amp; Percentages'!$E$34</f>
        <v>11838.629797434054</v>
      </c>
      <c r="AL18" s="18"/>
      <c r="AM18" s="124">
        <v>26</v>
      </c>
      <c r="AN18" s="211">
        <v>29</v>
      </c>
      <c r="AO18" s="124">
        <v>45</v>
      </c>
      <c r="AP18" s="212">
        <v>46</v>
      </c>
      <c r="AQ18" s="135">
        <v>5556</v>
      </c>
      <c r="AR18" s="179">
        <f t="shared" si="3"/>
        <v>5556</v>
      </c>
      <c r="AS18" s="205">
        <f>AN18*'Factors &amp; Percentages'!$E$37+AP18*'Factors &amp; Percentages'!$E$38+AR18*'Factors &amp; Percentages'!$E$39</f>
        <v>5815.7514406491018</v>
      </c>
      <c r="AT18" s="18"/>
      <c r="AU18" s="203">
        <f t="shared" si="4"/>
        <v>32149.855452644028</v>
      </c>
      <c r="AV18" s="213">
        <f t="shared" si="5"/>
        <v>32149.855452644028</v>
      </c>
      <c r="AW18" s="196">
        <f>IF($BG18&gt;$AV18,$BG18*(1+'Factors &amp; Percentages'!$B$24),
IF($AU18&gt;$AV18,$AV18,
IF($AU18&gt;$BG18,$AU18,
$BG18*(1+'Factors &amp; Percentages'!$B$24))))</f>
        <v>32149.855452644028</v>
      </c>
      <c r="AX18" s="185">
        <f t="shared" si="6"/>
        <v>32149.855452644028</v>
      </c>
      <c r="AY18" s="127"/>
      <c r="AZ18" s="27"/>
      <c r="BA18" s="223">
        <v>32568.730113853708</v>
      </c>
      <c r="BB18" s="185">
        <v>29333</v>
      </c>
      <c r="BC18" s="204">
        <v>15894</v>
      </c>
      <c r="BD18" s="218">
        <v>21034.65</v>
      </c>
      <c r="BE18" s="224">
        <v>20631</v>
      </c>
      <c r="BF18" s="219"/>
      <c r="BG18" s="221">
        <v>12600</v>
      </c>
      <c r="BH18" s="226">
        <v>12000</v>
      </c>
      <c r="BI18" s="220">
        <v>11160</v>
      </c>
      <c r="BJ18" s="227">
        <v>10560</v>
      </c>
      <c r="BK18" s="221">
        <v>9296</v>
      </c>
      <c r="BL18" s="128">
        <v>4547</v>
      </c>
      <c r="BM18" s="128">
        <v>19714</v>
      </c>
    </row>
    <row r="19" spans="1:65" x14ac:dyDescent="0.3">
      <c r="A19" s="111" t="s">
        <v>159</v>
      </c>
      <c r="B19" s="111" t="s">
        <v>159</v>
      </c>
      <c r="C19" s="112" t="s">
        <v>159</v>
      </c>
      <c r="D19" s="113" t="s">
        <v>302</v>
      </c>
      <c r="E19" s="113" t="s">
        <v>317</v>
      </c>
      <c r="F19" s="111"/>
      <c r="G19" s="46">
        <f t="shared" si="0"/>
        <v>13549.9</v>
      </c>
      <c r="H19" s="111"/>
      <c r="I19" s="114">
        <v>20846</v>
      </c>
      <c r="J19" s="47">
        <v>23707</v>
      </c>
      <c r="K19" s="47">
        <v>28888</v>
      </c>
      <c r="L19" s="47">
        <v>21710</v>
      </c>
      <c r="M19" s="47">
        <v>22031</v>
      </c>
      <c r="N19" s="114">
        <v>2812</v>
      </c>
      <c r="O19" s="47">
        <v>2999</v>
      </c>
      <c r="P19" s="47">
        <v>22896</v>
      </c>
      <c r="Q19" s="115">
        <v>9850</v>
      </c>
      <c r="R19" s="47">
        <v>6786</v>
      </c>
      <c r="S19" s="47"/>
      <c r="T19" s="114">
        <v>2172</v>
      </c>
      <c r="U19" s="47">
        <v>300</v>
      </c>
      <c r="V19" s="47">
        <v>0</v>
      </c>
      <c r="W19" s="47">
        <v>15026</v>
      </c>
      <c r="X19" s="114">
        <v>2000</v>
      </c>
      <c r="Y19" s="47">
        <v>0</v>
      </c>
      <c r="Z19" s="47">
        <v>0</v>
      </c>
      <c r="AA19" s="47">
        <v>0</v>
      </c>
      <c r="AB19" s="47"/>
      <c r="AC19" s="16">
        <f t="shared" si="1"/>
        <v>21046</v>
      </c>
      <c r="AD19" s="16">
        <f t="shared" si="2"/>
        <v>3029.2</v>
      </c>
      <c r="AE19" s="16">
        <f>SUM(AC19*'Factors &amp; Percentages'!$E$27+AD19*'Factors &amp; Percentages'!$E$28)</f>
        <v>2113.3750600927542</v>
      </c>
      <c r="AF19" s="16"/>
      <c r="AG19" s="101">
        <v>0.33333333333333331</v>
      </c>
      <c r="AH19" s="18">
        <f>AG19*'Factors &amp; Percentages'!$E$31</f>
        <v>4366.6153629184973</v>
      </c>
      <c r="AI19" s="18"/>
      <c r="AJ19" s="18">
        <v>3037</v>
      </c>
      <c r="AK19" s="18">
        <f>AJ19*'Factors &amp; Percentages'!$E$34</f>
        <v>6354.5278711218134</v>
      </c>
      <c r="AL19" s="18"/>
      <c r="AM19" s="137">
        <v>25</v>
      </c>
      <c r="AN19" s="30">
        <v>25</v>
      </c>
      <c r="AO19" s="137">
        <v>52</v>
      </c>
      <c r="AP19" s="116">
        <v>52</v>
      </c>
      <c r="AQ19" s="115">
        <v>3551</v>
      </c>
      <c r="AR19" s="115">
        <f t="shared" si="3"/>
        <v>3551</v>
      </c>
      <c r="AS19" s="18">
        <f>AN19*'Factors &amp; Percentages'!$E$37+AP19*'Factors &amp; Percentages'!$E$38+AR19*'Factors &amp; Percentages'!$E$39</f>
        <v>5050.1140325140841</v>
      </c>
      <c r="AT19" s="18"/>
      <c r="AU19" s="18">
        <f t="shared" si="4"/>
        <v>17884.632326647148</v>
      </c>
      <c r="AV19" s="69">
        <f t="shared" si="5"/>
        <v>13549.9</v>
      </c>
      <c r="AW19" s="46">
        <f>IF($BG19&gt;$AV19,$BG19*(1+'Factors &amp; Percentages'!$B$24),
IF($AU19&gt;$AV19,$AV19,
IF($AU19&gt;$BG19,$AU19,
$BG19*(1+'Factors &amp; Percentages'!$B$24))))</f>
        <v>13549.9</v>
      </c>
      <c r="AX19" s="46">
        <f t="shared" si="6"/>
        <v>13549.9</v>
      </c>
      <c r="AY19" s="69"/>
      <c r="AZ19" s="27"/>
      <c r="BA19" s="21">
        <v>15409.550000000001</v>
      </c>
      <c r="BB19" s="46">
        <v>17157</v>
      </c>
      <c r="BC19" s="119">
        <v>14112</v>
      </c>
      <c r="BD19" s="120">
        <v>14320.15</v>
      </c>
      <c r="BE19" s="120">
        <v>18450</v>
      </c>
      <c r="BF19" s="69"/>
      <c r="BG19" s="73">
        <v>12000</v>
      </c>
      <c r="BH19" s="73">
        <v>15000</v>
      </c>
      <c r="BI19" s="117">
        <v>12000</v>
      </c>
      <c r="BJ19" s="118">
        <v>12000</v>
      </c>
      <c r="BK19" s="106">
        <v>12000</v>
      </c>
      <c r="BL19" s="106">
        <v>18000</v>
      </c>
      <c r="BM19" s="106">
        <v>18000</v>
      </c>
    </row>
    <row r="20" spans="1:65" x14ac:dyDescent="0.3">
      <c r="A20" s="121" t="s">
        <v>91</v>
      </c>
      <c r="B20" s="121" t="s">
        <v>91</v>
      </c>
      <c r="C20" s="174" t="s">
        <v>91</v>
      </c>
      <c r="D20" s="122" t="s">
        <v>295</v>
      </c>
      <c r="E20" s="173" t="s">
        <v>295</v>
      </c>
      <c r="F20" s="111"/>
      <c r="G20" s="185">
        <f t="shared" si="0"/>
        <v>33516</v>
      </c>
      <c r="H20" s="186"/>
      <c r="I20" s="187">
        <v>64346</v>
      </c>
      <c r="J20" s="188">
        <v>58021</v>
      </c>
      <c r="K20" s="189">
        <v>58072</v>
      </c>
      <c r="L20" s="123">
        <v>55692</v>
      </c>
      <c r="M20" s="123">
        <v>52699</v>
      </c>
      <c r="N20" s="190">
        <v>33668</v>
      </c>
      <c r="O20" s="189">
        <v>28952</v>
      </c>
      <c r="P20" s="188">
        <v>30765</v>
      </c>
      <c r="Q20" s="208">
        <v>36418</v>
      </c>
      <c r="R20" s="123">
        <v>33064</v>
      </c>
      <c r="S20" s="188"/>
      <c r="T20" s="187">
        <v>7044</v>
      </c>
      <c r="U20" s="188">
        <v>6806</v>
      </c>
      <c r="V20" s="189">
        <v>0</v>
      </c>
      <c r="W20" s="123">
        <v>52646</v>
      </c>
      <c r="X20" s="190">
        <v>1085</v>
      </c>
      <c r="Y20" s="189">
        <v>1084</v>
      </c>
      <c r="Z20" s="188">
        <v>4361</v>
      </c>
      <c r="AA20" s="123">
        <v>0</v>
      </c>
      <c r="AB20" s="191"/>
      <c r="AC20" s="204">
        <f t="shared" si="1"/>
        <v>64454.5</v>
      </c>
      <c r="AD20" s="205">
        <f t="shared" si="2"/>
        <v>34372.400000000001</v>
      </c>
      <c r="AE20" s="204">
        <f>SUM(AC20*'Factors &amp; Percentages'!$E$27+AD20*'Factors &amp; Percentages'!$E$28)</f>
        <v>8158.2825469232912</v>
      </c>
      <c r="AF20" s="16"/>
      <c r="AG20" s="125">
        <v>0.2</v>
      </c>
      <c r="AH20" s="204">
        <f>AG20*'Factors &amp; Percentages'!$E$31</f>
        <v>2619.9692177510988</v>
      </c>
      <c r="AI20" s="18"/>
      <c r="AJ20" s="126">
        <v>5221</v>
      </c>
      <c r="AK20" s="204">
        <f>AJ20*'Factors &amp; Percentages'!$E$34</f>
        <v>10924.264081372074</v>
      </c>
      <c r="AL20" s="18"/>
      <c r="AM20" s="124">
        <v>47</v>
      </c>
      <c r="AN20" s="211">
        <v>40</v>
      </c>
      <c r="AO20" s="124">
        <v>96</v>
      </c>
      <c r="AP20" s="212">
        <v>97</v>
      </c>
      <c r="AQ20" s="135">
        <v>432</v>
      </c>
      <c r="AR20" s="179">
        <f t="shared" si="3"/>
        <v>432</v>
      </c>
      <c r="AS20" s="205">
        <f>AN20*'Factors &amp; Percentages'!$E$37+AP20*'Factors &amp; Percentages'!$E$38+AR20*'Factors &amp; Percentages'!$E$39</f>
        <v>7331.8016065175734</v>
      </c>
      <c r="AT20" s="18"/>
      <c r="AU20" s="203">
        <f t="shared" si="4"/>
        <v>29034.317452564039</v>
      </c>
      <c r="AV20" s="213">
        <f t="shared" si="5"/>
        <v>29034.317452564039</v>
      </c>
      <c r="AW20" s="196">
        <f>IF($BG20&gt;$AV20,$BG20*(1+'Factors &amp; Percentages'!$B$24),
IF($AU20&gt;$AV20,$AV20,
IF($AU20&gt;$BG20,$AU20,
$BG20*(1+'Factors &amp; Percentages'!$B$24))))</f>
        <v>33516</v>
      </c>
      <c r="AX20" s="185">
        <f t="shared" si="6"/>
        <v>33516</v>
      </c>
      <c r="AY20" s="127"/>
      <c r="AZ20" s="27"/>
      <c r="BA20" s="223">
        <v>33075</v>
      </c>
      <c r="BB20" s="185">
        <v>35571.200000000004</v>
      </c>
      <c r="BC20" s="204">
        <v>36200</v>
      </c>
      <c r="BD20" s="218">
        <v>32493.144448771687</v>
      </c>
      <c r="BE20" s="224">
        <v>29381.624999999996</v>
      </c>
      <c r="BF20" s="219"/>
      <c r="BG20" s="221">
        <v>31920</v>
      </c>
      <c r="BH20" s="226">
        <v>31500</v>
      </c>
      <c r="BI20" s="220">
        <v>36200</v>
      </c>
      <c r="BJ20" s="227">
        <v>32519</v>
      </c>
      <c r="BK20" s="221">
        <v>29382</v>
      </c>
      <c r="BL20" s="128">
        <v>28665</v>
      </c>
      <c r="BM20" s="128">
        <v>27300</v>
      </c>
    </row>
    <row r="21" spans="1:65" x14ac:dyDescent="0.3">
      <c r="A21" s="111" t="s">
        <v>318</v>
      </c>
      <c r="B21" s="111" t="s">
        <v>92</v>
      </c>
      <c r="C21" s="112" t="s">
        <v>92</v>
      </c>
      <c r="D21" s="113" t="s">
        <v>295</v>
      </c>
      <c r="E21" s="113" t="s">
        <v>295</v>
      </c>
      <c r="F21" s="111"/>
      <c r="G21" s="46">
        <f t="shared" si="0"/>
        <v>20112.388083730148</v>
      </c>
      <c r="H21" s="111"/>
      <c r="I21" s="114">
        <v>25474</v>
      </c>
      <c r="J21" s="47">
        <v>23282</v>
      </c>
      <c r="K21" s="47">
        <v>23658</v>
      </c>
      <c r="L21" s="47">
        <v>23853</v>
      </c>
      <c r="M21" s="47">
        <v>32332</v>
      </c>
      <c r="N21" s="114">
        <v>27634</v>
      </c>
      <c r="O21" s="47">
        <v>28485</v>
      </c>
      <c r="P21" s="47">
        <v>25333</v>
      </c>
      <c r="Q21" s="115">
        <v>27130</v>
      </c>
      <c r="R21" s="47">
        <v>25087</v>
      </c>
      <c r="S21" s="47"/>
      <c r="T21" s="114">
        <v>5916</v>
      </c>
      <c r="U21" s="47">
        <v>5140</v>
      </c>
      <c r="V21" s="47">
        <v>18858</v>
      </c>
      <c r="W21" s="47">
        <v>18613</v>
      </c>
      <c r="X21" s="114">
        <v>1161</v>
      </c>
      <c r="Y21" s="47">
        <v>420</v>
      </c>
      <c r="Z21" s="47">
        <v>302</v>
      </c>
      <c r="AA21" s="47">
        <v>554</v>
      </c>
      <c r="AB21" s="47"/>
      <c r="AC21" s="16">
        <f t="shared" si="1"/>
        <v>25590.1</v>
      </c>
      <c r="AD21" s="16">
        <f t="shared" si="2"/>
        <v>28225.599999999999</v>
      </c>
      <c r="AE21" s="16">
        <f>SUM(AC21*'Factors &amp; Percentages'!$E$27+AD21*'Factors &amp; Percentages'!$E$28)</f>
        <v>4218.4893596856527</v>
      </c>
      <c r="AF21" s="16"/>
      <c r="AG21" s="101">
        <v>0.33333333333333331</v>
      </c>
      <c r="AH21" s="18">
        <f>AG21*'Factors &amp; Percentages'!$E$31</f>
        <v>4366.6153629184973</v>
      </c>
      <c r="AI21" s="18"/>
      <c r="AJ21" s="18">
        <v>2416</v>
      </c>
      <c r="AK21" s="18">
        <f>AJ21*'Factors &amp; Percentages'!$E$34</f>
        <v>5055.1660640863684</v>
      </c>
      <c r="AL21" s="18"/>
      <c r="AM21" s="30">
        <v>34</v>
      </c>
      <c r="AN21" s="30">
        <v>22</v>
      </c>
      <c r="AO21" s="30">
        <v>61</v>
      </c>
      <c r="AP21" s="116">
        <v>59</v>
      </c>
      <c r="AQ21" s="115">
        <v>11536</v>
      </c>
      <c r="AR21" s="115">
        <f t="shared" si="3"/>
        <v>11536</v>
      </c>
      <c r="AS21" s="18">
        <f>AN21*'Factors &amp; Percentages'!$E$37+AP21*'Factors &amp; Percentages'!$E$38+AR21*'Factors &amp; Percentages'!$E$39</f>
        <v>6472.1172970396292</v>
      </c>
      <c r="AT21" s="18"/>
      <c r="AU21" s="18">
        <f t="shared" si="4"/>
        <v>20112.388083730148</v>
      </c>
      <c r="AV21" s="69">
        <f t="shared" si="5"/>
        <v>20112.388083730148</v>
      </c>
      <c r="AW21" s="46">
        <f>IF($BG21&gt;$AV21,$BG21*(1+'Factors &amp; Percentages'!$B$24),
IF($AU21&gt;$AV21,$AV21,
IF($AU21&gt;$BG21,$AU21,
$BG21*(1+'Factors &amp; Percentages'!$B$24))))</f>
        <v>20112.388083730148</v>
      </c>
      <c r="AX21" s="46">
        <f t="shared" si="6"/>
        <v>20112.388083730148</v>
      </c>
      <c r="AY21" s="69"/>
      <c r="AZ21" s="27"/>
      <c r="BA21" s="21">
        <v>19676.30169981888</v>
      </c>
      <c r="BB21" s="46">
        <v>16985</v>
      </c>
      <c r="BC21" s="119">
        <v>15504</v>
      </c>
      <c r="BD21" s="120">
        <v>21015.8</v>
      </c>
      <c r="BE21" s="120">
        <v>22714.653898683835</v>
      </c>
      <c r="BF21" s="69"/>
      <c r="BG21" s="73">
        <v>1000</v>
      </c>
      <c r="BH21" s="73">
        <v>9261</v>
      </c>
      <c r="BI21" s="117">
        <v>8820</v>
      </c>
      <c r="BJ21" s="118">
        <v>8400</v>
      </c>
      <c r="BK21" s="106">
        <v>13286</v>
      </c>
      <c r="BL21" s="106">
        <v>10016</v>
      </c>
      <c r="BM21" s="106">
        <v>10342</v>
      </c>
    </row>
    <row r="22" spans="1:65" x14ac:dyDescent="0.3">
      <c r="A22" s="121" t="s">
        <v>58</v>
      </c>
      <c r="B22" s="121" t="s">
        <v>58</v>
      </c>
      <c r="C22" s="175" t="s">
        <v>58</v>
      </c>
      <c r="D22" s="122" t="s">
        <v>302</v>
      </c>
      <c r="E22" s="173" t="s">
        <v>299</v>
      </c>
      <c r="F22" s="111"/>
      <c r="G22" s="185">
        <f t="shared" si="0"/>
        <v>28456.80972654359</v>
      </c>
      <c r="H22" s="186"/>
      <c r="I22" s="187">
        <v>44538</v>
      </c>
      <c r="J22" s="188">
        <v>45792</v>
      </c>
      <c r="K22" s="189">
        <v>45602</v>
      </c>
      <c r="L22" s="123">
        <v>37204</v>
      </c>
      <c r="M22" s="123">
        <v>51363</v>
      </c>
      <c r="N22" s="190">
        <v>40429</v>
      </c>
      <c r="O22" s="189">
        <v>27000</v>
      </c>
      <c r="P22" s="188">
        <v>17849</v>
      </c>
      <c r="Q22" s="208">
        <v>11866</v>
      </c>
      <c r="R22" s="123">
        <v>27871</v>
      </c>
      <c r="S22" s="188"/>
      <c r="T22" s="187">
        <v>5116</v>
      </c>
      <c r="U22" s="188">
        <v>26156</v>
      </c>
      <c r="V22" s="189">
        <v>2380</v>
      </c>
      <c r="W22" s="123">
        <v>7500</v>
      </c>
      <c r="X22" s="190">
        <v>576</v>
      </c>
      <c r="Y22" s="189">
        <v>2935</v>
      </c>
      <c r="Z22" s="188">
        <v>365</v>
      </c>
      <c r="AA22" s="123">
        <v>0</v>
      </c>
      <c r="AB22" s="191"/>
      <c r="AC22" s="204">
        <f t="shared" si="1"/>
        <v>44595.6</v>
      </c>
      <c r="AD22" s="205">
        <f t="shared" si="2"/>
        <v>40940.6</v>
      </c>
      <c r="AE22" s="204">
        <f>SUM(AC22*'Factors &amp; Percentages'!$E$27+AD22*'Factors &amp; Percentages'!$E$28)</f>
        <v>6797.4080430384456</v>
      </c>
      <c r="AF22" s="16"/>
      <c r="AG22" s="125">
        <v>0.5</v>
      </c>
      <c r="AH22" s="204">
        <f>AG22*'Factors &amp; Percentages'!$E$31</f>
        <v>6549.9230443777469</v>
      </c>
      <c r="AI22" s="18"/>
      <c r="AJ22" s="126">
        <v>4643</v>
      </c>
      <c r="AK22" s="204">
        <f>AJ22*'Factors &amp; Percentages'!$E$34</f>
        <v>9714.874186901081</v>
      </c>
      <c r="AL22" s="18"/>
      <c r="AM22" s="124">
        <v>27</v>
      </c>
      <c r="AN22" s="211">
        <v>26</v>
      </c>
      <c r="AO22" s="124">
        <v>57</v>
      </c>
      <c r="AP22" s="212">
        <v>54</v>
      </c>
      <c r="AQ22" s="135">
        <v>4400</v>
      </c>
      <c r="AR22" s="179">
        <f t="shared" si="3"/>
        <v>4400</v>
      </c>
      <c r="AS22" s="205">
        <f>AN22*'Factors &amp; Percentages'!$E$37+AP22*'Factors &amp; Percentages'!$E$38+AR22*'Factors &amp; Percentages'!$E$39</f>
        <v>5394.6044522263146</v>
      </c>
      <c r="AT22" s="18"/>
      <c r="AU22" s="203">
        <f t="shared" si="4"/>
        <v>28456.80972654359</v>
      </c>
      <c r="AV22" s="213">
        <f t="shared" si="5"/>
        <v>28456.80972654359</v>
      </c>
      <c r="AW22" s="196">
        <f>IF($BG22&gt;$AV22,$BG22*(1+'Factors &amp; Percentages'!$B$24),
IF($AU22&gt;$AV22,$AV22,
IF($AU22&gt;$BG22,$AU22,
$BG22*(1+'Factors &amp; Percentages'!$B$24))))</f>
        <v>28456.80972654359</v>
      </c>
      <c r="AX22" s="185">
        <f t="shared" si="6"/>
        <v>28456.80972654359</v>
      </c>
      <c r="AY22" s="127"/>
      <c r="AZ22" s="27"/>
      <c r="BA22" s="223">
        <v>25636.146592668098</v>
      </c>
      <c r="BB22" s="185">
        <v>20065</v>
      </c>
      <c r="BC22" s="204">
        <v>31926</v>
      </c>
      <c r="BD22" s="218">
        <v>30405.599999999999</v>
      </c>
      <c r="BE22" s="224">
        <v>29663.499999999996</v>
      </c>
      <c r="BF22" s="219"/>
      <c r="BG22" s="221">
        <v>18000</v>
      </c>
      <c r="BH22" s="226">
        <v>16500</v>
      </c>
      <c r="BI22" s="220">
        <v>18406</v>
      </c>
      <c r="BJ22" s="227">
        <v>30406</v>
      </c>
      <c r="BK22" s="221">
        <v>29664</v>
      </c>
      <c r="BL22" s="128">
        <v>28940</v>
      </c>
      <c r="BM22" s="128">
        <v>27562</v>
      </c>
    </row>
    <row r="23" spans="1:65" x14ac:dyDescent="0.3">
      <c r="A23" s="111" t="s">
        <v>319</v>
      </c>
      <c r="B23" s="111" t="s">
        <v>178</v>
      </c>
      <c r="C23" s="112" t="s">
        <v>178</v>
      </c>
      <c r="D23" s="113" t="s">
        <v>295</v>
      </c>
      <c r="E23" s="113" t="s">
        <v>296</v>
      </c>
      <c r="F23" s="111"/>
      <c r="G23" s="46">
        <f t="shared" si="0"/>
        <v>30687.264806236017</v>
      </c>
      <c r="H23" s="111"/>
      <c r="I23" s="114">
        <v>38240</v>
      </c>
      <c r="J23" s="47">
        <v>36582</v>
      </c>
      <c r="K23" s="47">
        <v>34887</v>
      </c>
      <c r="L23" s="47">
        <v>26872</v>
      </c>
      <c r="M23" s="47">
        <v>33815</v>
      </c>
      <c r="N23" s="114">
        <v>46970</v>
      </c>
      <c r="O23" s="47">
        <v>43073</v>
      </c>
      <c r="P23" s="47">
        <v>41380</v>
      </c>
      <c r="Q23" s="115">
        <v>49327</v>
      </c>
      <c r="R23" s="47">
        <v>43184</v>
      </c>
      <c r="S23" s="47"/>
      <c r="T23" s="114">
        <v>4420</v>
      </c>
      <c r="U23" s="47">
        <v>3641</v>
      </c>
      <c r="V23" s="47">
        <v>4167</v>
      </c>
      <c r="W23" s="47">
        <v>3926</v>
      </c>
      <c r="X23" s="114">
        <v>4487</v>
      </c>
      <c r="Y23" s="47">
        <v>2569</v>
      </c>
      <c r="Z23" s="47">
        <v>643</v>
      </c>
      <c r="AA23" s="47">
        <v>3085</v>
      </c>
      <c r="AB23" s="47"/>
      <c r="AC23" s="16">
        <f t="shared" si="1"/>
        <v>38688.699999999997</v>
      </c>
      <c r="AD23" s="16">
        <f t="shared" si="2"/>
        <v>47412</v>
      </c>
      <c r="AE23" s="16">
        <f>SUM(AC23*'Factors &amp; Percentages'!$E$27+AD23*'Factors &amp; Percentages'!$E$28)</f>
        <v>6696.1360017498591</v>
      </c>
      <c r="AF23" s="16"/>
      <c r="AG23" s="101">
        <v>0.5</v>
      </c>
      <c r="AH23" s="18">
        <f>AG23*'Factors &amp; Percentages'!$E$31</f>
        <v>6549.9230443777469</v>
      </c>
      <c r="AI23" s="18"/>
      <c r="AJ23" s="18">
        <v>5297</v>
      </c>
      <c r="AK23" s="18">
        <f>AJ23*'Factors &amp; Percentages'!$E$34</f>
        <v>11083.284205904592</v>
      </c>
      <c r="AL23" s="18"/>
      <c r="AM23" s="30">
        <v>26</v>
      </c>
      <c r="AN23" s="30">
        <v>27</v>
      </c>
      <c r="AO23" s="30">
        <v>67</v>
      </c>
      <c r="AP23" s="116">
        <v>65</v>
      </c>
      <c r="AQ23" s="115">
        <v>7246</v>
      </c>
      <c r="AR23" s="115">
        <f t="shared" si="3"/>
        <v>7246</v>
      </c>
      <c r="AS23" s="18">
        <f>AN23*'Factors &amp; Percentages'!$E$37+AP23*'Factors &amp; Percentages'!$E$38+AR23*'Factors &amp; Percentages'!$E$39</f>
        <v>6357.9215542038164</v>
      </c>
      <c r="AT23" s="18"/>
      <c r="AU23" s="18">
        <f t="shared" si="4"/>
        <v>30687.264806236017</v>
      </c>
      <c r="AV23" s="69">
        <f t="shared" si="5"/>
        <v>30687.264806236017</v>
      </c>
      <c r="AW23" s="46">
        <f>IF($BG23&gt;$AV23,$BG23*(1+'Factors &amp; Percentages'!$B$24),
IF($AU23&gt;$AV23,$AV23,
IF($AU23&gt;$BG23,$AU23,
$BG23*(1+'Factors &amp; Percentages'!$B$24))))</f>
        <v>30687.264806236017</v>
      </c>
      <c r="AX23" s="46">
        <f t="shared" si="6"/>
        <v>30687.264806236017</v>
      </c>
      <c r="AY23" s="69"/>
      <c r="AZ23" s="27"/>
      <c r="BA23" s="21">
        <v>27561.673869056689</v>
      </c>
      <c r="BB23" s="46">
        <v>25717</v>
      </c>
      <c r="BC23" s="119">
        <v>25830</v>
      </c>
      <c r="BD23" s="120">
        <v>24599.999999999996</v>
      </c>
      <c r="BE23" s="120">
        <v>29630.95</v>
      </c>
      <c r="BF23" s="69"/>
      <c r="BG23" s="73">
        <v>14520</v>
      </c>
      <c r="BH23" s="73">
        <v>13200</v>
      </c>
      <c r="BI23" s="117">
        <v>12600</v>
      </c>
      <c r="BJ23" s="118">
        <v>24600</v>
      </c>
      <c r="BK23" s="106">
        <v>24000</v>
      </c>
      <c r="BL23" s="106">
        <v>22050</v>
      </c>
      <c r="BM23" s="106">
        <v>22050</v>
      </c>
    </row>
    <row r="24" spans="1:65" x14ac:dyDescent="0.3">
      <c r="A24" s="121" t="s">
        <v>20</v>
      </c>
      <c r="B24" s="121" t="s">
        <v>20</v>
      </c>
      <c r="C24" s="174" t="s">
        <v>20</v>
      </c>
      <c r="D24" s="122" t="s">
        <v>279</v>
      </c>
      <c r="E24" s="173" t="s">
        <v>279</v>
      </c>
      <c r="F24" s="111"/>
      <c r="G24" s="185">
        <f t="shared" si="0"/>
        <v>24550.75628660214</v>
      </c>
      <c r="H24" s="186"/>
      <c r="I24" s="187">
        <v>15348</v>
      </c>
      <c r="J24" s="188">
        <v>32933</v>
      </c>
      <c r="K24" s="189">
        <v>13747</v>
      </c>
      <c r="L24" s="123">
        <v>15475</v>
      </c>
      <c r="M24" s="123">
        <v>15434</v>
      </c>
      <c r="N24" s="190">
        <v>118119</v>
      </c>
      <c r="O24" s="189">
        <v>25564</v>
      </c>
      <c r="P24" s="188">
        <v>6801</v>
      </c>
      <c r="Q24" s="208">
        <v>14545</v>
      </c>
      <c r="R24" s="123">
        <v>13129</v>
      </c>
      <c r="S24" s="188"/>
      <c r="T24" s="187">
        <v>2667</v>
      </c>
      <c r="U24" s="188">
        <v>2667</v>
      </c>
      <c r="V24" s="189">
        <v>2667</v>
      </c>
      <c r="W24" s="123">
        <v>2826</v>
      </c>
      <c r="X24" s="190">
        <v>0</v>
      </c>
      <c r="Y24" s="189">
        <v>0</v>
      </c>
      <c r="Z24" s="188">
        <v>0</v>
      </c>
      <c r="AA24" s="123">
        <v>0</v>
      </c>
      <c r="AB24" s="191"/>
      <c r="AC24" s="204">
        <f t="shared" si="1"/>
        <v>15348</v>
      </c>
      <c r="AD24" s="205">
        <f t="shared" si="2"/>
        <v>118385.7</v>
      </c>
      <c r="AE24" s="204">
        <f>SUM(AC24*'Factors &amp; Percentages'!$E$27+AD24*'Factors &amp; Percentages'!$E$28)</f>
        <v>9346.2011809861742</v>
      </c>
      <c r="AF24" s="16"/>
      <c r="AG24" s="125">
        <v>0.25</v>
      </c>
      <c r="AH24" s="204">
        <f>AG24*'Factors &amp; Percentages'!$E$31</f>
        <v>3274.9615221888735</v>
      </c>
      <c r="AI24" s="18"/>
      <c r="AJ24" s="126">
        <v>4304</v>
      </c>
      <c r="AK24" s="204">
        <f>AJ24*'Factors &amp; Percentages'!$E$34</f>
        <v>9005.560736683663</v>
      </c>
      <c r="AL24" s="18"/>
      <c r="AM24" s="124">
        <v>14</v>
      </c>
      <c r="AN24" s="211">
        <v>14</v>
      </c>
      <c r="AO24" s="124">
        <v>39</v>
      </c>
      <c r="AP24" s="212">
        <v>39</v>
      </c>
      <c r="AQ24" s="135">
        <v>1324</v>
      </c>
      <c r="AR24" s="179">
        <f t="shared" si="3"/>
        <v>1324</v>
      </c>
      <c r="AS24" s="205">
        <f>AN24*'Factors &amp; Percentages'!$E$37+AP24*'Factors &amp; Percentages'!$E$38+AR24*'Factors &amp; Percentages'!$E$39</f>
        <v>2924.0328467434315</v>
      </c>
      <c r="AT24" s="18"/>
      <c r="AU24" s="203">
        <f t="shared" si="4"/>
        <v>24550.75628660214</v>
      </c>
      <c r="AV24" s="213">
        <f t="shared" si="5"/>
        <v>24550.75628660214</v>
      </c>
      <c r="AW24" s="196">
        <f>IF($BG24&gt;$AV24,$BG24*(1+'Factors &amp; Percentages'!$B$24),
IF($AU24&gt;$AV24,$AV24,
IF($AU24&gt;$BG24,$AU24,
$BG24*(1+'Factors &amp; Percentages'!$B$24))))</f>
        <v>24550.75628660214</v>
      </c>
      <c r="AX24" s="185">
        <f t="shared" si="6"/>
        <v>24550.75628660214</v>
      </c>
      <c r="AY24" s="127"/>
      <c r="AZ24" s="27"/>
      <c r="BA24" s="223">
        <v>18230.43467330921</v>
      </c>
      <c r="BB24" s="185">
        <v>8935.5500000000011</v>
      </c>
      <c r="BC24" s="204">
        <v>10059</v>
      </c>
      <c r="BD24" s="218">
        <v>10032.1</v>
      </c>
      <c r="BE24" s="224">
        <v>11776.75</v>
      </c>
      <c r="BF24" s="219"/>
      <c r="BG24" s="221">
        <v>8000</v>
      </c>
      <c r="BH24" s="226">
        <v>6000</v>
      </c>
      <c r="BI24" s="220">
        <v>6000</v>
      </c>
      <c r="BJ24" s="227">
        <v>6000</v>
      </c>
      <c r="BK24" s="221">
        <v>6000</v>
      </c>
      <c r="BL24" s="128">
        <v>8400</v>
      </c>
      <c r="BM24" s="128">
        <v>8400</v>
      </c>
    </row>
    <row r="25" spans="1:65" x14ac:dyDescent="0.3">
      <c r="A25" s="111" t="s">
        <v>320</v>
      </c>
      <c r="B25" s="111" t="s">
        <v>320</v>
      </c>
      <c r="C25" s="112" t="s">
        <v>282</v>
      </c>
      <c r="D25" s="113" t="s">
        <v>279</v>
      </c>
      <c r="E25" s="113" t="s">
        <v>279</v>
      </c>
      <c r="F25" s="111"/>
      <c r="G25" s="46">
        <f t="shared" si="0"/>
        <v>20710.3</v>
      </c>
      <c r="H25" s="111"/>
      <c r="I25" s="114">
        <v>31862</v>
      </c>
      <c r="J25" s="47">
        <v>29662</v>
      </c>
      <c r="K25" s="47">
        <v>29925</v>
      </c>
      <c r="L25" s="47">
        <v>26899</v>
      </c>
      <c r="M25" s="47">
        <v>26584</v>
      </c>
      <c r="N25" s="114">
        <v>17865</v>
      </c>
      <c r="O25" s="47">
        <v>23763</v>
      </c>
      <c r="P25" s="47">
        <v>27424</v>
      </c>
      <c r="Q25" s="115">
        <v>34285</v>
      </c>
      <c r="R25" s="47">
        <v>35156</v>
      </c>
      <c r="S25" s="47"/>
      <c r="T25" s="114">
        <v>2000</v>
      </c>
      <c r="U25" s="47">
        <v>2000</v>
      </c>
      <c r="V25" s="47">
        <v>2000</v>
      </c>
      <c r="W25" s="47">
        <v>2000</v>
      </c>
      <c r="X25" s="114">
        <v>0</v>
      </c>
      <c r="Y25" s="47">
        <v>0</v>
      </c>
      <c r="Z25" s="47">
        <v>0</v>
      </c>
      <c r="AA25" s="47">
        <v>0</v>
      </c>
      <c r="AB25" s="47"/>
      <c r="AC25" s="16">
        <f t="shared" si="1"/>
        <v>31862</v>
      </c>
      <c r="AD25" s="16">
        <f t="shared" si="2"/>
        <v>18065</v>
      </c>
      <c r="AE25" s="16">
        <f>SUM(AC25*'Factors &amp; Percentages'!$E$27+AD25*'Factors &amp; Percentages'!$E$28)</f>
        <v>4105.0355599775303</v>
      </c>
      <c r="AF25" s="16"/>
      <c r="AG25" s="101">
        <v>0.5</v>
      </c>
      <c r="AH25" s="18">
        <f>AG25*'Factors &amp; Percentages'!$E$31</f>
        <v>6549.9230443777469</v>
      </c>
      <c r="AI25" s="18"/>
      <c r="AJ25" s="18">
        <v>2370</v>
      </c>
      <c r="AK25" s="18">
        <f>AJ25*'Factors &amp; Percentages'!$E$34</f>
        <v>4958.917041343002</v>
      </c>
      <c r="AL25" s="18"/>
      <c r="AM25" s="137">
        <v>25</v>
      </c>
      <c r="AN25" s="30">
        <v>25</v>
      </c>
      <c r="AO25" s="137">
        <v>52</v>
      </c>
      <c r="AP25" s="116">
        <v>52</v>
      </c>
      <c r="AQ25" s="115">
        <v>5254</v>
      </c>
      <c r="AR25" s="115">
        <f t="shared" si="3"/>
        <v>5254</v>
      </c>
      <c r="AS25" s="18">
        <f>AN25*'Factors &amp; Percentages'!$E$37+AP25*'Factors &amp; Percentages'!$E$38+AR25*'Factors &amp; Percentages'!$E$39</f>
        <v>5397.8678806478138</v>
      </c>
      <c r="AT25" s="18"/>
      <c r="AU25" s="18">
        <f t="shared" si="4"/>
        <v>21011.743526346094</v>
      </c>
      <c r="AV25" s="69">
        <f t="shared" si="5"/>
        <v>20710.3</v>
      </c>
      <c r="AW25" s="46">
        <f>IF($BG25&gt;$AV25,$BG25*(1+'Factors &amp; Percentages'!$B$24),
IF($AU25&gt;$AV25,$AV25,
IF($AU25&gt;$BG25,$AU25,
$BG25*(1+'Factors &amp; Percentages'!$B$24))))</f>
        <v>20710.3</v>
      </c>
      <c r="AX25" s="46">
        <f t="shared" si="6"/>
        <v>20710.3</v>
      </c>
      <c r="AY25" s="69"/>
      <c r="AZ25" s="27"/>
      <c r="BA25" s="21">
        <v>19280.3</v>
      </c>
      <c r="BB25" s="46">
        <v>18591</v>
      </c>
      <c r="BC25" s="119">
        <v>17484</v>
      </c>
      <c r="BD25" s="120">
        <v>17279.600000000002</v>
      </c>
      <c r="BE25" s="120">
        <v>21762</v>
      </c>
      <c r="BF25" s="69"/>
      <c r="BG25" s="73">
        <v>14000</v>
      </c>
      <c r="BH25" s="73">
        <v>16000</v>
      </c>
      <c r="BI25" s="117">
        <v>15500</v>
      </c>
      <c r="BJ25" s="118">
        <v>15000</v>
      </c>
      <c r="BK25" s="106">
        <v>16000</v>
      </c>
      <c r="BL25" s="106"/>
      <c r="BM25" s="106">
        <v>15099.96</v>
      </c>
    </row>
    <row r="26" spans="1:65" x14ac:dyDescent="0.3">
      <c r="A26" s="121" t="s">
        <v>179</v>
      </c>
      <c r="B26" s="121" t="s">
        <v>179</v>
      </c>
      <c r="C26" s="174" t="s">
        <v>179</v>
      </c>
      <c r="D26" s="122" t="s">
        <v>295</v>
      </c>
      <c r="E26" s="173" t="s">
        <v>296</v>
      </c>
      <c r="F26" s="111"/>
      <c r="G26" s="185">
        <f t="shared" si="0"/>
        <v>25081.71118092757</v>
      </c>
      <c r="H26" s="186"/>
      <c r="I26" s="187">
        <v>40423</v>
      </c>
      <c r="J26" s="188">
        <v>37640</v>
      </c>
      <c r="K26" s="189">
        <v>38810</v>
      </c>
      <c r="L26" s="123">
        <v>24674</v>
      </c>
      <c r="M26" s="123">
        <v>23873</v>
      </c>
      <c r="N26" s="190">
        <v>68684</v>
      </c>
      <c r="O26" s="189">
        <v>63381</v>
      </c>
      <c r="P26" s="188">
        <v>55174</v>
      </c>
      <c r="Q26" s="208">
        <v>27227</v>
      </c>
      <c r="R26" s="123">
        <v>40142</v>
      </c>
      <c r="S26" s="188"/>
      <c r="T26" s="187">
        <v>0</v>
      </c>
      <c r="U26" s="188">
        <v>0</v>
      </c>
      <c r="V26" s="189">
        <v>0</v>
      </c>
      <c r="W26" s="123">
        <v>20444</v>
      </c>
      <c r="X26" s="190">
        <v>0</v>
      </c>
      <c r="Y26" s="189">
        <v>300</v>
      </c>
      <c r="Z26" s="188">
        <v>0</v>
      </c>
      <c r="AA26" s="123">
        <v>1708</v>
      </c>
      <c r="AB26" s="191"/>
      <c r="AC26" s="204">
        <f t="shared" si="1"/>
        <v>40423</v>
      </c>
      <c r="AD26" s="205">
        <f t="shared" si="2"/>
        <v>68684</v>
      </c>
      <c r="AE26" s="204">
        <f>SUM(AC26*'Factors &amp; Percentages'!$E$27+AD26*'Factors &amp; Percentages'!$E$28)</f>
        <v>8282.6188210631499</v>
      </c>
      <c r="AF26" s="16"/>
      <c r="AG26" s="125">
        <v>0.5</v>
      </c>
      <c r="AH26" s="204">
        <f>AG26*'Factors &amp; Percentages'!$E$31</f>
        <v>6549.9230443777469</v>
      </c>
      <c r="AI26" s="18"/>
      <c r="AJ26" s="126">
        <v>2243</v>
      </c>
      <c r="AK26" s="204">
        <f>AJ26*'Factors &amp; Percentages'!$E$34</f>
        <v>4693.1860437689256</v>
      </c>
      <c r="AL26" s="18"/>
      <c r="AM26" s="124">
        <v>19</v>
      </c>
      <c r="AN26" s="211">
        <v>25</v>
      </c>
      <c r="AO26" s="124">
        <v>63</v>
      </c>
      <c r="AP26" s="212">
        <v>62</v>
      </c>
      <c r="AQ26" s="135">
        <v>4880</v>
      </c>
      <c r="AR26" s="179">
        <f t="shared" si="3"/>
        <v>4880</v>
      </c>
      <c r="AS26" s="205">
        <f>AN26*'Factors &amp; Percentages'!$E$37+AP26*'Factors &amp; Percentages'!$E$38+AR26*'Factors &amp; Percentages'!$E$39</f>
        <v>5555.9832717177478</v>
      </c>
      <c r="AT26" s="18"/>
      <c r="AU26" s="203">
        <f t="shared" si="4"/>
        <v>25081.71118092757</v>
      </c>
      <c r="AV26" s="213">
        <f t="shared" si="5"/>
        <v>25081.71118092757</v>
      </c>
      <c r="AW26" s="196">
        <f>IF($BG26&gt;$AV26,$BG26*(1+'Factors &amp; Percentages'!$B$24),
IF($AU26&gt;$AV26,$AV26,
IF($AU26&gt;$BG26,$AU26,
$BG26*(1+'Factors &amp; Percentages'!$B$24))))</f>
        <v>25081.71118092757</v>
      </c>
      <c r="AX26" s="185">
        <f t="shared" si="6"/>
        <v>25081.71118092757</v>
      </c>
      <c r="AY26" s="127"/>
      <c r="AZ26" s="27"/>
      <c r="BA26" s="223">
        <v>21608.840499182053</v>
      </c>
      <c r="BB26" s="185">
        <v>20135</v>
      </c>
      <c r="BC26" s="204">
        <v>16038</v>
      </c>
      <c r="BD26" s="218">
        <v>19641.05</v>
      </c>
      <c r="BE26" s="224">
        <v>22497</v>
      </c>
      <c r="BF26" s="219"/>
      <c r="BG26" s="221">
        <v>21609</v>
      </c>
      <c r="BH26" s="226">
        <v>17129</v>
      </c>
      <c r="BI26" s="220">
        <v>16038</v>
      </c>
      <c r="BJ26" s="227">
        <v>15517</v>
      </c>
      <c r="BK26" s="221">
        <v>19162</v>
      </c>
      <c r="BL26" s="128">
        <v>14162</v>
      </c>
      <c r="BM26" s="128">
        <v>13892</v>
      </c>
    </row>
    <row r="27" spans="1:65" x14ac:dyDescent="0.3">
      <c r="A27" s="111" t="s">
        <v>321</v>
      </c>
      <c r="B27" s="111" t="s">
        <v>321</v>
      </c>
      <c r="C27" s="138" t="s">
        <v>59</v>
      </c>
      <c r="D27" s="113" t="s">
        <v>302</v>
      </c>
      <c r="E27" s="113" t="s">
        <v>299</v>
      </c>
      <c r="F27" s="111"/>
      <c r="G27" s="46">
        <f t="shared" si="0"/>
        <v>127338.75</v>
      </c>
      <c r="H27" s="111"/>
      <c r="I27" s="114">
        <v>282760</v>
      </c>
      <c r="J27" s="47">
        <v>271044</v>
      </c>
      <c r="K27" s="47">
        <v>244461</v>
      </c>
      <c r="L27" s="47">
        <v>224650</v>
      </c>
      <c r="M27" s="47">
        <v>343973</v>
      </c>
      <c r="N27" s="114">
        <v>39997</v>
      </c>
      <c r="O27" s="47">
        <v>85912</v>
      </c>
      <c r="P27" s="47">
        <v>72009</v>
      </c>
      <c r="Q27" s="115">
        <v>118202</v>
      </c>
      <c r="R27" s="47">
        <v>122453</v>
      </c>
      <c r="S27" s="47"/>
      <c r="T27" s="114">
        <v>164331</v>
      </c>
      <c r="U27" s="47">
        <v>77482</v>
      </c>
      <c r="V27" s="47">
        <v>58350</v>
      </c>
      <c r="W27" s="47">
        <v>58662</v>
      </c>
      <c r="X27" s="114">
        <v>45272</v>
      </c>
      <c r="Y27" s="47">
        <v>27015</v>
      </c>
      <c r="Z27" s="47">
        <v>28449</v>
      </c>
      <c r="AA27" s="47">
        <v>10506</v>
      </c>
      <c r="AB27" s="47"/>
      <c r="AC27" s="16">
        <f t="shared" si="1"/>
        <v>287287.2</v>
      </c>
      <c r="AD27" s="16">
        <f t="shared" si="2"/>
        <v>56430.100000000006</v>
      </c>
      <c r="AE27" s="16">
        <f>SUM(AC27*'Factors &amp; Percentages'!$E$27+AD27*'Factors &amp; Percentages'!$E$28)</f>
        <v>29861.623281300184</v>
      </c>
      <c r="AF27" s="16"/>
      <c r="AG27" s="101">
        <v>2</v>
      </c>
      <c r="AH27" s="18">
        <f>AG27*'Factors &amp; Percentages'!$E$31</f>
        <v>26199.692177510988</v>
      </c>
      <c r="AI27" s="18"/>
      <c r="AJ27" s="18">
        <v>3555</v>
      </c>
      <c r="AK27" s="18">
        <f>AJ27*'Factors &amp; Percentages'!$E$34</f>
        <v>7438.3755620145039</v>
      </c>
      <c r="AL27" s="18"/>
      <c r="AM27" s="30">
        <v>163</v>
      </c>
      <c r="AN27" s="30">
        <v>182</v>
      </c>
      <c r="AO27" s="30">
        <v>331</v>
      </c>
      <c r="AP27" s="116">
        <v>331</v>
      </c>
      <c r="AQ27" s="115">
        <v>25026</v>
      </c>
      <c r="AR27" s="115">
        <f t="shared" si="3"/>
        <v>25026</v>
      </c>
      <c r="AS27" s="18">
        <f>AN27*'Factors &amp; Percentages'!$E$37+AP27*'Factors &amp; Percentages'!$E$38+AR27*'Factors &amp; Percentages'!$E$39</f>
        <v>35481.089747477046</v>
      </c>
      <c r="AT27" s="18"/>
      <c r="AU27" s="18">
        <f t="shared" si="4"/>
        <v>98980.78076830272</v>
      </c>
      <c r="AV27" s="69">
        <f t="shared" si="5"/>
        <v>98980.78076830272</v>
      </c>
      <c r="AW27" s="46">
        <f>IF($BG27&gt;$AV27,$BG27*(1+'Factors &amp; Percentages'!$B$24),
IF($AU27&gt;$AV27,$AV27,
IF($AU27&gt;$BG27,$AU27,
$BG27*(1+'Factors &amp; Percentages'!$B$24))))</f>
        <v>127338.75</v>
      </c>
      <c r="AX27" s="46">
        <f t="shared" si="6"/>
        <v>127338.75</v>
      </c>
      <c r="AY27" s="69"/>
      <c r="AZ27" s="27"/>
      <c r="BA27" s="21">
        <v>121275</v>
      </c>
      <c r="BB27" s="46">
        <v>115500</v>
      </c>
      <c r="BC27" s="119">
        <v>133331</v>
      </c>
      <c r="BD27" s="120">
        <v>132717.33503787979</v>
      </c>
      <c r="BE27" s="120">
        <v>106408.72837390847</v>
      </c>
      <c r="BF27" s="69"/>
      <c r="BG27" s="73">
        <v>121275</v>
      </c>
      <c r="BH27" s="73">
        <v>115500</v>
      </c>
      <c r="BI27" s="117">
        <v>110000</v>
      </c>
      <c r="BJ27" s="118">
        <v>106500</v>
      </c>
      <c r="BK27" s="106">
        <v>75000</v>
      </c>
      <c r="BL27" s="106">
        <v>100000</v>
      </c>
      <c r="BM27" s="106">
        <v>105000</v>
      </c>
    </row>
    <row r="28" spans="1:65" x14ac:dyDescent="0.3">
      <c r="A28" s="121" t="s">
        <v>322</v>
      </c>
      <c r="B28" s="121" t="s">
        <v>323</v>
      </c>
      <c r="C28" s="174" t="s">
        <v>93</v>
      </c>
      <c r="D28" s="122" t="s">
        <v>295</v>
      </c>
      <c r="E28" s="173" t="s">
        <v>295</v>
      </c>
      <c r="F28" s="111"/>
      <c r="G28" s="185">
        <f t="shared" si="0"/>
        <v>13331.226490979825</v>
      </c>
      <c r="H28" s="186"/>
      <c r="I28" s="187">
        <v>21494</v>
      </c>
      <c r="J28" s="188">
        <v>18968</v>
      </c>
      <c r="K28" s="189">
        <v>25625</v>
      </c>
      <c r="L28" s="123">
        <v>16652</v>
      </c>
      <c r="M28" s="123">
        <v>17992</v>
      </c>
      <c r="N28" s="190">
        <v>8830</v>
      </c>
      <c r="O28" s="189">
        <v>15311</v>
      </c>
      <c r="P28" s="188">
        <v>15713</v>
      </c>
      <c r="Q28" s="208">
        <v>6411</v>
      </c>
      <c r="R28" s="123">
        <v>6108</v>
      </c>
      <c r="S28" s="188"/>
      <c r="T28" s="187">
        <v>650</v>
      </c>
      <c r="U28" s="188">
        <v>0</v>
      </c>
      <c r="V28" s="189">
        <v>0</v>
      </c>
      <c r="W28" s="123">
        <v>20566</v>
      </c>
      <c r="X28" s="190">
        <v>33</v>
      </c>
      <c r="Y28" s="189">
        <v>0</v>
      </c>
      <c r="Z28" s="188">
        <v>0</v>
      </c>
      <c r="AA28" s="123">
        <v>0</v>
      </c>
      <c r="AB28" s="191"/>
      <c r="AC28" s="204">
        <f t="shared" si="1"/>
        <v>21497.3</v>
      </c>
      <c r="AD28" s="205">
        <f t="shared" si="2"/>
        <v>8895</v>
      </c>
      <c r="AE28" s="204">
        <f>SUM(AC28*'Factors &amp; Percentages'!$E$27+AD28*'Factors &amp; Percentages'!$E$28)</f>
        <v>2548.40667166616</v>
      </c>
      <c r="AF28" s="16"/>
      <c r="AG28" s="125">
        <v>0.3</v>
      </c>
      <c r="AH28" s="204">
        <f>AG28*'Factors &amp; Percentages'!$E$31</f>
        <v>3929.9538266266482</v>
      </c>
      <c r="AI28" s="18"/>
      <c r="AJ28" s="126">
        <v>1731</v>
      </c>
      <c r="AK28" s="204">
        <f>AJ28*'Factors &amp; Percentages'!$E$34</f>
        <v>3621.8925732340663</v>
      </c>
      <c r="AL28" s="18"/>
      <c r="AM28" s="129">
        <v>11</v>
      </c>
      <c r="AN28" s="211">
        <v>12</v>
      </c>
      <c r="AO28" s="129">
        <v>37</v>
      </c>
      <c r="AP28" s="212">
        <v>34</v>
      </c>
      <c r="AQ28" s="135">
        <v>4618</v>
      </c>
      <c r="AR28" s="179">
        <f t="shared" si="3"/>
        <v>4618</v>
      </c>
      <c r="AS28" s="205">
        <f>AN28*'Factors &amp; Percentages'!$E$37+AP28*'Factors &amp; Percentages'!$E$38+AR28*'Factors &amp; Percentages'!$E$39</f>
        <v>3230.9734194529501</v>
      </c>
      <c r="AT28" s="18"/>
      <c r="AU28" s="203">
        <f t="shared" si="4"/>
        <v>13331.226490979825</v>
      </c>
      <c r="AV28" s="213">
        <f t="shared" si="5"/>
        <v>13331.226490979825</v>
      </c>
      <c r="AW28" s="196">
        <f>IF($BG28&gt;$AV28,$BG28*(1+'Factors &amp; Percentages'!$B$24),
IF($AU28&gt;$AV28,$AV28,
IF($AU28&gt;$BG28,$AU28,
$BG28*(1+'Factors &amp; Percentages'!$B$24))))</f>
        <v>13331.226490979825</v>
      </c>
      <c r="AX28" s="185">
        <f t="shared" si="6"/>
        <v>13331.226490979825</v>
      </c>
      <c r="AY28" s="127"/>
      <c r="AZ28" s="27"/>
      <c r="BA28" s="223">
        <v>12286.691118622492</v>
      </c>
      <c r="BB28" s="185">
        <v>11477</v>
      </c>
      <c r="BC28" s="204">
        <v>12600</v>
      </c>
      <c r="BD28" s="218">
        <v>15810.624999999998</v>
      </c>
      <c r="BE28" s="224">
        <v>15425.224999999999</v>
      </c>
      <c r="BF28" s="219"/>
      <c r="BG28" s="221">
        <v>4000</v>
      </c>
      <c r="BH28" s="226">
        <v>6000</v>
      </c>
      <c r="BI28" s="220">
        <v>8000</v>
      </c>
      <c r="BJ28" s="227">
        <v>12000</v>
      </c>
      <c r="BK28" s="221">
        <v>15425</v>
      </c>
      <c r="BL28" s="128">
        <v>15049</v>
      </c>
      <c r="BM28" s="128">
        <v>15049</v>
      </c>
    </row>
    <row r="29" spans="1:65" x14ac:dyDescent="0.3">
      <c r="A29" s="111" t="s">
        <v>60</v>
      </c>
      <c r="B29" s="111" t="s">
        <v>60</v>
      </c>
      <c r="C29" s="138" t="s">
        <v>60</v>
      </c>
      <c r="D29" s="113" t="s">
        <v>302</v>
      </c>
      <c r="E29" s="113" t="s">
        <v>299</v>
      </c>
      <c r="F29" s="111"/>
      <c r="G29" s="46">
        <f t="shared" si="0"/>
        <v>13199.076771540966</v>
      </c>
      <c r="H29" s="111"/>
      <c r="I29" s="114">
        <v>21607</v>
      </c>
      <c r="J29" s="47">
        <v>21209</v>
      </c>
      <c r="K29" s="47">
        <v>24132</v>
      </c>
      <c r="L29" s="47">
        <v>19611</v>
      </c>
      <c r="M29" s="47">
        <v>15441</v>
      </c>
      <c r="N29" s="114">
        <v>9595</v>
      </c>
      <c r="O29" s="47">
        <v>7720</v>
      </c>
      <c r="P29" s="47">
        <v>8181</v>
      </c>
      <c r="Q29" s="115">
        <v>10269</v>
      </c>
      <c r="R29" s="47">
        <v>8246</v>
      </c>
      <c r="S29" s="47"/>
      <c r="T29" s="114">
        <v>21775</v>
      </c>
      <c r="U29" s="47">
        <v>21998</v>
      </c>
      <c r="V29" s="47">
        <v>24006</v>
      </c>
      <c r="W29" s="47">
        <v>23868</v>
      </c>
      <c r="X29" s="114">
        <v>997</v>
      </c>
      <c r="Y29" s="47">
        <v>647</v>
      </c>
      <c r="Z29" s="47">
        <v>1783</v>
      </c>
      <c r="AA29" s="47">
        <v>777</v>
      </c>
      <c r="AB29" s="47"/>
      <c r="AC29" s="16">
        <f t="shared" si="1"/>
        <v>21706.7</v>
      </c>
      <c r="AD29" s="16">
        <f t="shared" si="2"/>
        <v>11772.5</v>
      </c>
      <c r="AE29" s="16">
        <f>SUM(AC29*'Factors &amp; Percentages'!$E$27+AD29*'Factors &amp; Percentages'!$E$28)</f>
        <v>2760.7259404291012</v>
      </c>
      <c r="AF29" s="16"/>
      <c r="AG29" s="101">
        <v>0.25</v>
      </c>
      <c r="AH29" s="18">
        <f>AG29*'Factors &amp; Percentages'!$E$31</f>
        <v>3274.9615221888735</v>
      </c>
      <c r="AI29" s="18"/>
      <c r="AJ29" s="18">
        <v>1374</v>
      </c>
      <c r="AK29" s="18">
        <f>AJ29*'Factors &amp; Percentages'!$E$34</f>
        <v>2874.9164619431585</v>
      </c>
      <c r="AL29" s="18"/>
      <c r="AM29" s="30">
        <v>20</v>
      </c>
      <c r="AN29" s="30">
        <v>16</v>
      </c>
      <c r="AO29" s="30">
        <v>51</v>
      </c>
      <c r="AP29" s="116">
        <v>50</v>
      </c>
      <c r="AQ29" s="115">
        <v>5526</v>
      </c>
      <c r="AR29" s="115">
        <f t="shared" si="3"/>
        <v>5526</v>
      </c>
      <c r="AS29" s="18">
        <f>AN29*'Factors &amp; Percentages'!$E$37+AP29*'Factors &amp; Percentages'!$E$38+AR29*'Factors &amp; Percentages'!$E$39</f>
        <v>4288.4728469798338</v>
      </c>
      <c r="AT29" s="18"/>
      <c r="AU29" s="18">
        <f t="shared" si="4"/>
        <v>13199.076771540966</v>
      </c>
      <c r="AV29" s="69">
        <f t="shared" si="5"/>
        <v>13199.076771540966</v>
      </c>
      <c r="AW29" s="46">
        <f>IF($BG29&gt;$AV29,$BG29*(1+'Factors &amp; Percentages'!$B$24),
IF($AU29&gt;$AV29,$AV29,
IF($AU29&gt;$BG29,$AU29,
$BG29*(1+'Factors &amp; Percentages'!$B$24))))</f>
        <v>13199.076771540966</v>
      </c>
      <c r="AX29" s="46">
        <f t="shared" si="6"/>
        <v>13199.076771540966</v>
      </c>
      <c r="AY29" s="69"/>
      <c r="AZ29" s="27"/>
      <c r="BA29" s="21">
        <v>12386.812825938796</v>
      </c>
      <c r="BB29" s="46">
        <v>12600</v>
      </c>
      <c r="BC29" s="119">
        <v>12747</v>
      </c>
      <c r="BD29" s="120">
        <v>10036.65</v>
      </c>
      <c r="BE29" s="120">
        <v>14841.999999999998</v>
      </c>
      <c r="BF29" s="69"/>
      <c r="BG29" s="73">
        <v>12000</v>
      </c>
      <c r="BH29" s="73">
        <v>12000</v>
      </c>
      <c r="BI29" s="117">
        <v>12000</v>
      </c>
      <c r="BJ29" s="118">
        <v>11100</v>
      </c>
      <c r="BK29" s="106">
        <v>9975</v>
      </c>
      <c r="BL29" s="106">
        <v>14480</v>
      </c>
      <c r="BM29" s="106">
        <v>14480</v>
      </c>
    </row>
    <row r="30" spans="1:65" x14ac:dyDescent="0.3">
      <c r="A30" s="121" t="s">
        <v>324</v>
      </c>
      <c r="B30" s="121" t="s">
        <v>137</v>
      </c>
      <c r="C30" s="174" t="s">
        <v>137</v>
      </c>
      <c r="D30" s="122" t="s">
        <v>302</v>
      </c>
      <c r="E30" s="173" t="s">
        <v>316</v>
      </c>
      <c r="F30" s="111"/>
      <c r="G30" s="185">
        <f t="shared" si="0"/>
        <v>6825</v>
      </c>
      <c r="H30" s="186"/>
      <c r="I30" s="187">
        <v>9602</v>
      </c>
      <c r="J30" s="188">
        <v>13513</v>
      </c>
      <c r="K30" s="189">
        <v>11739</v>
      </c>
      <c r="L30" s="123">
        <v>8500</v>
      </c>
      <c r="M30" s="123">
        <v>9714</v>
      </c>
      <c r="N30" s="190">
        <v>6295</v>
      </c>
      <c r="O30" s="189">
        <v>11404</v>
      </c>
      <c r="P30" s="188">
        <v>8314</v>
      </c>
      <c r="Q30" s="208">
        <v>7740</v>
      </c>
      <c r="R30" s="123">
        <v>11949</v>
      </c>
      <c r="S30" s="188"/>
      <c r="T30" s="187">
        <v>6825</v>
      </c>
      <c r="U30" s="188">
        <v>1179</v>
      </c>
      <c r="V30" s="189">
        <v>2047</v>
      </c>
      <c r="W30" s="123">
        <v>2725</v>
      </c>
      <c r="X30" s="190">
        <v>7738</v>
      </c>
      <c r="Y30" s="189">
        <v>2153</v>
      </c>
      <c r="Z30" s="188">
        <v>4739</v>
      </c>
      <c r="AA30" s="123">
        <v>739</v>
      </c>
      <c r="AB30" s="191"/>
      <c r="AC30" s="204">
        <f t="shared" si="1"/>
        <v>10375.799999999999</v>
      </c>
      <c r="AD30" s="205">
        <f t="shared" si="2"/>
        <v>6977.5</v>
      </c>
      <c r="AE30" s="204">
        <f>SUM(AC30*'Factors &amp; Percentages'!$E$27+AD30*'Factors &amp; Percentages'!$E$28)</f>
        <v>1410.3391993647595</v>
      </c>
      <c r="AF30" s="16"/>
      <c r="AG30" s="125">
        <v>0.25</v>
      </c>
      <c r="AH30" s="204">
        <f>AG30*'Factors &amp; Percentages'!$E$31</f>
        <v>3274.9615221888735</v>
      </c>
      <c r="AI30" s="18"/>
      <c r="AJ30" s="126">
        <v>675</v>
      </c>
      <c r="AK30" s="204">
        <f>AJ30*'Factors &amp; Percentages'!$E$34</f>
        <v>1412.3497902559184</v>
      </c>
      <c r="AL30" s="18"/>
      <c r="AM30" s="124">
        <v>9</v>
      </c>
      <c r="AN30" s="211">
        <v>9</v>
      </c>
      <c r="AO30" s="124">
        <v>26</v>
      </c>
      <c r="AP30" s="212">
        <v>26</v>
      </c>
      <c r="AQ30" s="135">
        <v>3420</v>
      </c>
      <c r="AR30" s="179">
        <f t="shared" si="3"/>
        <v>3420</v>
      </c>
      <c r="AS30" s="205">
        <f>AN30*'Factors &amp; Percentages'!$E$37+AP30*'Factors &amp; Percentages'!$E$38+AR30*'Factors &amp; Percentages'!$E$39</f>
        <v>2426.0716559672164</v>
      </c>
      <c r="AT30" s="18"/>
      <c r="AU30" s="203">
        <f t="shared" si="4"/>
        <v>8523.7221677767666</v>
      </c>
      <c r="AV30" s="213">
        <f t="shared" si="5"/>
        <v>6241.3</v>
      </c>
      <c r="AW30" s="196">
        <f>IF($BG30&gt;$AV30,$BG30*(1+'Factors &amp; Percentages'!$B$24),
IF($AU30&gt;$AV30,$AV30,
IF($AU30&gt;$BG30,$AU30,
$BG30*(1+'Factors &amp; Percentages'!$B$24))))</f>
        <v>6825</v>
      </c>
      <c r="AX30" s="185">
        <f t="shared" si="6"/>
        <v>6825</v>
      </c>
      <c r="AY30" s="127"/>
      <c r="AZ30" s="27"/>
      <c r="BA30" s="223">
        <v>8317.2708658953416</v>
      </c>
      <c r="BB30" s="185">
        <v>7497</v>
      </c>
      <c r="BC30" s="204">
        <v>6300</v>
      </c>
      <c r="BD30" s="218">
        <v>7174.9999999999991</v>
      </c>
      <c r="BE30" s="224">
        <v>8972.6894803387386</v>
      </c>
      <c r="BF30" s="219"/>
      <c r="BG30" s="221">
        <v>6500</v>
      </c>
      <c r="BH30" s="226">
        <v>6500</v>
      </c>
      <c r="BI30" s="220">
        <v>6300</v>
      </c>
      <c r="BJ30" s="227">
        <v>6000</v>
      </c>
      <c r="BK30" s="221">
        <v>7000</v>
      </c>
      <c r="BL30" s="128">
        <v>6000</v>
      </c>
      <c r="BM30" s="128">
        <v>6000</v>
      </c>
    </row>
    <row r="31" spans="1:65" x14ac:dyDescent="0.3">
      <c r="A31" s="111" t="s">
        <v>325</v>
      </c>
      <c r="B31" s="111" t="s">
        <v>326</v>
      </c>
      <c r="C31" s="112" t="s">
        <v>160</v>
      </c>
      <c r="D31" s="113" t="s">
        <v>302</v>
      </c>
      <c r="E31" s="113" t="s">
        <v>317</v>
      </c>
      <c r="F31" s="111"/>
      <c r="G31" s="46">
        <f t="shared" si="0"/>
        <v>41094.300000000003</v>
      </c>
      <c r="H31" s="111"/>
      <c r="I31" s="114">
        <v>63222</v>
      </c>
      <c r="J31" s="47">
        <v>65369</v>
      </c>
      <c r="K31" s="47">
        <v>72156</v>
      </c>
      <c r="L31" s="47">
        <v>54491</v>
      </c>
      <c r="M31" s="47">
        <v>71869</v>
      </c>
      <c r="N31" s="114">
        <v>42987</v>
      </c>
      <c r="O31" s="47">
        <v>48624</v>
      </c>
      <c r="P31" s="47">
        <v>57415</v>
      </c>
      <c r="Q31" s="115">
        <v>8812</v>
      </c>
      <c r="R31" s="47">
        <v>9920</v>
      </c>
      <c r="S31" s="47"/>
      <c r="T31" s="114">
        <v>0</v>
      </c>
      <c r="U31" s="47">
        <v>0</v>
      </c>
      <c r="V31" s="47">
        <v>1918</v>
      </c>
      <c r="W31" s="47">
        <v>4977</v>
      </c>
      <c r="X31" s="114">
        <v>0</v>
      </c>
      <c r="Y31" s="47">
        <v>1457</v>
      </c>
      <c r="Z31" s="47">
        <v>1607</v>
      </c>
      <c r="AA31" s="47">
        <v>896</v>
      </c>
      <c r="AB31" s="47"/>
      <c r="AC31" s="16">
        <f t="shared" si="1"/>
        <v>63222</v>
      </c>
      <c r="AD31" s="16">
        <f t="shared" si="2"/>
        <v>42987</v>
      </c>
      <c r="AE31" s="16">
        <f>SUM(AC31*'Factors &amp; Percentages'!$E$27+AD31*'Factors &amp; Percentages'!$E$28)</f>
        <v>8625.1843746073337</v>
      </c>
      <c r="AF31" s="16"/>
      <c r="AG31" s="101">
        <v>0.5</v>
      </c>
      <c r="AH31" s="18">
        <f>AG31*'Factors &amp; Percentages'!$E$31</f>
        <v>6549.9230443777469</v>
      </c>
      <c r="AI31" s="18"/>
      <c r="AJ31" s="18">
        <v>11899</v>
      </c>
      <c r="AK31" s="18">
        <f>AJ31*'Factors &amp; Percentages'!$E$34</f>
        <v>24897.111339637293</v>
      </c>
      <c r="AL31" s="18"/>
      <c r="AM31" s="139">
        <v>18</v>
      </c>
      <c r="AN31" s="30">
        <v>18</v>
      </c>
      <c r="AO31" s="30">
        <v>79</v>
      </c>
      <c r="AP31" s="116">
        <v>77</v>
      </c>
      <c r="AQ31" s="115">
        <v>4635</v>
      </c>
      <c r="AR31" s="115">
        <f t="shared" si="3"/>
        <v>4635</v>
      </c>
      <c r="AS31" s="18">
        <f>AN31*'Factors &amp; Percentages'!$E$37+AP31*'Factors &amp; Percentages'!$E$38+AR31*'Factors &amp; Percentages'!$E$39</f>
        <v>4988.0968588225178</v>
      </c>
      <c r="AT31" s="18"/>
      <c r="AU31" s="18">
        <f t="shared" si="4"/>
        <v>45060.315617444889</v>
      </c>
      <c r="AV31" s="69">
        <f t="shared" si="5"/>
        <v>41094.300000000003</v>
      </c>
      <c r="AW31" s="46">
        <f>IF($BG31&gt;$AV31,$BG31*(1+'Factors &amp; Percentages'!$B$24),
IF($AU31&gt;$AV31,$AV31,
IF($AU31&gt;$BG31,$AU31,
$BG31*(1+'Factors &amp; Percentages'!$B$24))))</f>
        <v>41094.300000000003</v>
      </c>
      <c r="AX31" s="46">
        <f t="shared" si="6"/>
        <v>41094.300000000003</v>
      </c>
      <c r="AY31" s="69"/>
      <c r="AZ31" s="27"/>
      <c r="BA31" s="21">
        <v>41794.270243511135</v>
      </c>
      <c r="BB31" s="46">
        <v>40115</v>
      </c>
      <c r="BC31" s="119">
        <v>37800</v>
      </c>
      <c r="BD31" s="120">
        <v>46714.85</v>
      </c>
      <c r="BE31" s="120">
        <v>50921.394025547226</v>
      </c>
      <c r="BF31" s="69"/>
      <c r="BG31" s="73">
        <v>30000</v>
      </c>
      <c r="BH31" s="73">
        <v>24000</v>
      </c>
      <c r="BI31" s="117">
        <v>24000</v>
      </c>
      <c r="BJ31" s="118">
        <v>36000</v>
      </c>
      <c r="BK31" s="106">
        <v>32000</v>
      </c>
      <c r="BL31" s="106">
        <v>40000</v>
      </c>
      <c r="BM31" s="106">
        <v>48516</v>
      </c>
    </row>
    <row r="32" spans="1:65" x14ac:dyDescent="0.3">
      <c r="A32" s="121" t="s">
        <v>327</v>
      </c>
      <c r="B32" s="121" t="s">
        <v>161</v>
      </c>
      <c r="C32" s="174" t="s">
        <v>161</v>
      </c>
      <c r="D32" s="122" t="s">
        <v>302</v>
      </c>
      <c r="E32" s="173" t="s">
        <v>317</v>
      </c>
      <c r="F32" s="111"/>
      <c r="G32" s="185">
        <f t="shared" si="0"/>
        <v>18214.754130602483</v>
      </c>
      <c r="H32" s="186"/>
      <c r="I32" s="187">
        <v>32807</v>
      </c>
      <c r="J32" s="188">
        <v>30300</v>
      </c>
      <c r="K32" s="189">
        <v>21998</v>
      </c>
      <c r="L32" s="123">
        <v>36426</v>
      </c>
      <c r="M32" s="123">
        <v>13900</v>
      </c>
      <c r="N32" s="190">
        <v>7203</v>
      </c>
      <c r="O32" s="189">
        <v>4529</v>
      </c>
      <c r="P32" s="188">
        <v>2675</v>
      </c>
      <c r="Q32" s="208">
        <v>1332</v>
      </c>
      <c r="R32" s="123">
        <v>5439</v>
      </c>
      <c r="S32" s="188"/>
      <c r="T32" s="187">
        <v>14205</v>
      </c>
      <c r="U32" s="188">
        <v>7969</v>
      </c>
      <c r="V32" s="189">
        <v>7692</v>
      </c>
      <c r="W32" s="123">
        <v>2059</v>
      </c>
      <c r="X32" s="190">
        <v>6616</v>
      </c>
      <c r="Y32" s="189">
        <v>113</v>
      </c>
      <c r="Z32" s="188">
        <v>4826</v>
      </c>
      <c r="AA32" s="123">
        <v>315</v>
      </c>
      <c r="AB32" s="191"/>
      <c r="AC32" s="204">
        <f t="shared" si="1"/>
        <v>33468.6</v>
      </c>
      <c r="AD32" s="205">
        <f t="shared" si="2"/>
        <v>8623.5</v>
      </c>
      <c r="AE32" s="204">
        <f>SUM(AC32*'Factors &amp; Percentages'!$E$27+AD32*'Factors &amp; Percentages'!$E$28)</f>
        <v>3616.5293153993762</v>
      </c>
      <c r="AF32" s="16"/>
      <c r="AG32" s="125">
        <v>0.5</v>
      </c>
      <c r="AH32" s="204">
        <f>AG32*'Factors &amp; Percentages'!$E$31</f>
        <v>6549.9230443777469</v>
      </c>
      <c r="AI32" s="18"/>
      <c r="AJ32" s="126">
        <v>1478</v>
      </c>
      <c r="AK32" s="204">
        <f>AJ32*'Factors &amp; Percentages'!$E$34</f>
        <v>3092.5229481455517</v>
      </c>
      <c r="AL32" s="18"/>
      <c r="AM32" s="124">
        <v>20</v>
      </c>
      <c r="AN32" s="211">
        <v>18</v>
      </c>
      <c r="AO32" s="124">
        <v>44</v>
      </c>
      <c r="AP32" s="212">
        <v>43</v>
      </c>
      <c r="AQ32" s="135">
        <v>8381</v>
      </c>
      <c r="AR32" s="179">
        <f t="shared" si="3"/>
        <v>8381</v>
      </c>
      <c r="AS32" s="205">
        <f>AN32*'Factors &amp; Percentages'!$E$37+AP32*'Factors &amp; Percentages'!$E$38+AR32*'Factors &amp; Percentages'!$E$39</f>
        <v>4955.7788226798084</v>
      </c>
      <c r="AT32" s="18"/>
      <c r="AU32" s="203">
        <f t="shared" si="4"/>
        <v>18214.754130602483</v>
      </c>
      <c r="AV32" s="213">
        <f t="shared" si="5"/>
        <v>18214.754130602483</v>
      </c>
      <c r="AW32" s="196">
        <f>IF($BG32&gt;$AV32,$BG32*(1+'Factors &amp; Percentages'!$B$24),
IF($AU32&gt;$AV32,$AV32,
IF($AU32&gt;$BG32,$AU32,
$BG32*(1+'Factors &amp; Percentages'!$B$24))))</f>
        <v>18214.754130602483</v>
      </c>
      <c r="AX32" s="185">
        <f t="shared" si="6"/>
        <v>18214.754130602483</v>
      </c>
      <c r="AY32" s="127"/>
      <c r="AZ32" s="27"/>
      <c r="BA32" s="223">
        <v>16423.127186624108</v>
      </c>
      <c r="BB32" s="185">
        <v>14298.7</v>
      </c>
      <c r="BC32" s="204">
        <v>23677</v>
      </c>
      <c r="BD32" s="218">
        <v>11274.999999999998</v>
      </c>
      <c r="BE32" s="224">
        <v>16312.45</v>
      </c>
      <c r="BF32" s="219"/>
      <c r="BG32" s="221">
        <v>15000</v>
      </c>
      <c r="BH32" s="226">
        <v>14000</v>
      </c>
      <c r="BI32" s="220">
        <v>13200</v>
      </c>
      <c r="BJ32" s="227">
        <v>12000</v>
      </c>
      <c r="BK32" s="221">
        <v>11000</v>
      </c>
      <c r="BL32" s="128">
        <v>11000</v>
      </c>
      <c r="BM32" s="128">
        <v>10500</v>
      </c>
    </row>
    <row r="33" spans="1:65" x14ac:dyDescent="0.3">
      <c r="A33" s="111" t="s">
        <v>328</v>
      </c>
      <c r="B33" s="111" t="s">
        <v>74</v>
      </c>
      <c r="C33" s="112" t="s">
        <v>74</v>
      </c>
      <c r="D33" s="113" t="s">
        <v>279</v>
      </c>
      <c r="E33" s="113" t="s">
        <v>314</v>
      </c>
      <c r="F33" s="111"/>
      <c r="G33" s="46">
        <f t="shared" si="0"/>
        <v>33638.15</v>
      </c>
      <c r="H33" s="111"/>
      <c r="I33" s="114">
        <v>51751</v>
      </c>
      <c r="J33" s="47">
        <v>48180</v>
      </c>
      <c r="K33" s="47">
        <v>48286</v>
      </c>
      <c r="L33" s="47">
        <v>40855</v>
      </c>
      <c r="M33" s="47">
        <v>47089</v>
      </c>
      <c r="N33" s="114">
        <v>1781</v>
      </c>
      <c r="O33" s="47">
        <v>3221</v>
      </c>
      <c r="P33" s="47">
        <v>3565</v>
      </c>
      <c r="Q33" s="115">
        <v>2794</v>
      </c>
      <c r="R33" s="47">
        <v>61</v>
      </c>
      <c r="S33" s="47"/>
      <c r="T33" s="114">
        <v>14927</v>
      </c>
      <c r="U33" s="47">
        <v>12179</v>
      </c>
      <c r="V33" s="47">
        <v>12179</v>
      </c>
      <c r="W33" s="47">
        <v>13579</v>
      </c>
      <c r="X33" s="114">
        <v>4537</v>
      </c>
      <c r="Y33" s="47">
        <v>1810</v>
      </c>
      <c r="Z33" s="47">
        <v>2785</v>
      </c>
      <c r="AA33" s="47">
        <v>2089</v>
      </c>
      <c r="AB33" s="47"/>
      <c r="AC33" s="16">
        <f t="shared" si="1"/>
        <v>52204.7</v>
      </c>
      <c r="AD33" s="16">
        <f t="shared" si="2"/>
        <v>3273.7</v>
      </c>
      <c r="AE33" s="16">
        <f>SUM(AC33*'Factors &amp; Percentages'!$E$27+AD33*'Factors &amp; Percentages'!$E$28)</f>
        <v>4957.3675995357526</v>
      </c>
      <c r="AF33" s="16"/>
      <c r="AG33" s="101">
        <v>1</v>
      </c>
      <c r="AH33" s="18">
        <f>AG33*'Factors &amp; Percentages'!$E$31</f>
        <v>13099.846088755494</v>
      </c>
      <c r="AI33" s="18"/>
      <c r="AJ33" s="18">
        <v>3729</v>
      </c>
      <c r="AK33" s="18">
        <f>AJ33*'Factors &amp; Percentages'!$E$34</f>
        <v>7802.4479523915843</v>
      </c>
      <c r="AL33" s="18"/>
      <c r="AM33" s="30">
        <v>47</v>
      </c>
      <c r="AN33" s="30">
        <v>42</v>
      </c>
      <c r="AO33" s="30">
        <v>94</v>
      </c>
      <c r="AP33" s="116">
        <v>92</v>
      </c>
      <c r="AQ33" s="115">
        <v>16505</v>
      </c>
      <c r="AR33" s="115">
        <f t="shared" si="3"/>
        <v>16505</v>
      </c>
      <c r="AS33" s="18">
        <f>AN33*'Factors &amp; Percentages'!$E$37+AP33*'Factors &amp; Percentages'!$E$38+AR33*'Factors &amp; Percentages'!$E$39</f>
        <v>10745.130162763911</v>
      </c>
      <c r="AT33" s="18"/>
      <c r="AU33" s="18">
        <f t="shared" si="4"/>
        <v>36604.791803446744</v>
      </c>
      <c r="AV33" s="69">
        <f t="shared" si="5"/>
        <v>33638.15</v>
      </c>
      <c r="AW33" s="46">
        <f>IF($BG33&gt;$AV33,$BG33*(1+'Factors &amp; Percentages'!$B$24),
IF($AU33&gt;$AV33,$AV33,
IF($AU33&gt;$BG33,$AU33,
$BG33*(1+'Factors &amp; Percentages'!$B$24))))</f>
        <v>33638.15</v>
      </c>
      <c r="AX33" s="46">
        <f t="shared" si="6"/>
        <v>33638.15</v>
      </c>
      <c r="AY33" s="69"/>
      <c r="AZ33" s="27"/>
      <c r="BA33" s="21">
        <v>31317</v>
      </c>
      <c r="BB33" s="46">
        <v>31294</v>
      </c>
      <c r="BC33" s="119">
        <v>26556</v>
      </c>
      <c r="BD33" s="120">
        <v>30607.850000000002</v>
      </c>
      <c r="BE33" s="120">
        <v>36857.416406841287</v>
      </c>
      <c r="BF33" s="69"/>
      <c r="BG33" s="73">
        <v>26000</v>
      </c>
      <c r="BH33" s="73">
        <v>26100</v>
      </c>
      <c r="BI33" s="117">
        <v>25500</v>
      </c>
      <c r="BJ33" s="118">
        <v>25500</v>
      </c>
      <c r="BK33" s="106">
        <v>25000</v>
      </c>
      <c r="BL33" s="106">
        <v>30000</v>
      </c>
      <c r="BM33" s="106">
        <v>38000</v>
      </c>
    </row>
    <row r="34" spans="1:65" x14ac:dyDescent="0.3">
      <c r="A34" s="121" t="s">
        <v>46</v>
      </c>
      <c r="B34" s="121" t="s">
        <v>46</v>
      </c>
      <c r="C34" s="174" t="s">
        <v>46</v>
      </c>
      <c r="D34" s="122" t="s">
        <v>279</v>
      </c>
      <c r="E34" s="173" t="s">
        <v>281</v>
      </c>
      <c r="F34" s="111"/>
      <c r="G34" s="185">
        <f t="shared" si="0"/>
        <v>11316.780597254126</v>
      </c>
      <c r="H34" s="186"/>
      <c r="I34" s="187">
        <v>21948</v>
      </c>
      <c r="J34" s="188">
        <v>29467</v>
      </c>
      <c r="K34" s="189">
        <v>17869</v>
      </c>
      <c r="L34" s="123">
        <v>14713</v>
      </c>
      <c r="M34" s="123">
        <v>20657</v>
      </c>
      <c r="N34" s="190">
        <v>15838</v>
      </c>
      <c r="O34" s="189">
        <v>19512</v>
      </c>
      <c r="P34" s="188">
        <v>16764</v>
      </c>
      <c r="Q34" s="208">
        <v>30992</v>
      </c>
      <c r="R34" s="123">
        <v>35826</v>
      </c>
      <c r="S34" s="188"/>
      <c r="T34" s="187">
        <v>4996</v>
      </c>
      <c r="U34" s="188">
        <v>7362</v>
      </c>
      <c r="V34" s="189">
        <v>11495</v>
      </c>
      <c r="W34" s="123">
        <v>12709</v>
      </c>
      <c r="X34" s="190">
        <v>8718</v>
      </c>
      <c r="Y34" s="189">
        <v>19481</v>
      </c>
      <c r="Z34" s="188">
        <v>1100</v>
      </c>
      <c r="AA34" s="123">
        <v>3000</v>
      </c>
      <c r="AB34" s="191"/>
      <c r="AC34" s="204">
        <f t="shared" si="1"/>
        <v>22819.8</v>
      </c>
      <c r="AD34" s="205">
        <f t="shared" si="2"/>
        <v>16337.6</v>
      </c>
      <c r="AE34" s="204">
        <f>SUM(AC34*'Factors &amp; Percentages'!$E$27+AD34*'Factors &amp; Percentages'!$E$28)</f>
        <v>3168.4301918197798</v>
      </c>
      <c r="AF34" s="16"/>
      <c r="AG34" s="125">
        <v>0.33</v>
      </c>
      <c r="AH34" s="204">
        <f>AG34*'Factors &amp; Percentages'!$E$31</f>
        <v>4322.9492092893133</v>
      </c>
      <c r="AI34" s="18"/>
      <c r="AJ34" s="126">
        <v>1207</v>
      </c>
      <c r="AK34" s="204">
        <f>AJ34*'Factors &amp; Percentages'!$E$34</f>
        <v>2525.490661983546</v>
      </c>
      <c r="AL34" s="18"/>
      <c r="AM34" s="124">
        <v>10</v>
      </c>
      <c r="AN34" s="211">
        <v>8</v>
      </c>
      <c r="AO34" s="124">
        <v>28</v>
      </c>
      <c r="AP34" s="212">
        <v>0</v>
      </c>
      <c r="AQ34" s="135">
        <v>1499</v>
      </c>
      <c r="AR34" s="179">
        <f t="shared" si="3"/>
        <v>1499</v>
      </c>
      <c r="AS34" s="205">
        <f>AN34*'Factors &amp; Percentages'!$E$37+AP34*'Factors &amp; Percentages'!$E$38+AR34*'Factors &amp; Percentages'!$E$39</f>
        <v>1299.9105341614868</v>
      </c>
      <c r="AT34" s="18"/>
      <c r="AU34" s="203">
        <f t="shared" si="4"/>
        <v>11316.780597254126</v>
      </c>
      <c r="AV34" s="213">
        <f t="shared" si="5"/>
        <v>11316.780597254126</v>
      </c>
      <c r="AW34" s="196">
        <f>IF($BG34&gt;$AV34,$BG34*(1+'Factors &amp; Percentages'!$B$24),
IF($AU34&gt;$AV34,$AV34,
IF($AU34&gt;$BG34,$AU34,
$BG34*(1+'Factors &amp; Percentages'!$B$24))))</f>
        <v>11316.780597254126</v>
      </c>
      <c r="AX34" s="185">
        <f t="shared" si="6"/>
        <v>11316.780597254126</v>
      </c>
      <c r="AY34" s="127"/>
      <c r="AZ34" s="27"/>
      <c r="BA34" s="223">
        <v>12097.813222988954</v>
      </c>
      <c r="BB34" s="185">
        <v>10617</v>
      </c>
      <c r="BC34" s="204">
        <v>11550</v>
      </c>
      <c r="BD34" s="218">
        <v>13427.050000000001</v>
      </c>
      <c r="BE34" s="224">
        <v>13858.725656945022</v>
      </c>
      <c r="BF34" s="219"/>
      <c r="BG34" s="221">
        <v>8000</v>
      </c>
      <c r="BH34" s="226">
        <v>8925</v>
      </c>
      <c r="BI34" s="220">
        <v>8500</v>
      </c>
      <c r="BJ34" s="227">
        <v>11000</v>
      </c>
      <c r="BK34" s="221">
        <v>11000</v>
      </c>
      <c r="BL34" s="128">
        <v>10000</v>
      </c>
      <c r="BM34" s="128">
        <v>13409</v>
      </c>
    </row>
    <row r="35" spans="1:65" x14ac:dyDescent="0.3">
      <c r="A35" s="111" t="s">
        <v>329</v>
      </c>
      <c r="B35" s="111" t="s">
        <v>329</v>
      </c>
      <c r="C35" s="112" t="s">
        <v>232</v>
      </c>
      <c r="D35" s="113" t="s">
        <v>279</v>
      </c>
      <c r="E35" s="113" t="s">
        <v>314</v>
      </c>
      <c r="F35" s="111"/>
      <c r="G35" s="46">
        <f t="shared" ref="G35:G66" si="7">+AX35</f>
        <v>21544.18604651163</v>
      </c>
      <c r="H35" s="111"/>
      <c r="I35" s="114">
        <v>40806</v>
      </c>
      <c r="J35" s="47">
        <v>37230</v>
      </c>
      <c r="K35" s="47">
        <v>29769</v>
      </c>
      <c r="L35" s="47">
        <v>19136</v>
      </c>
      <c r="M35" s="47">
        <v>20064</v>
      </c>
      <c r="N35" s="114">
        <v>109988</v>
      </c>
      <c r="O35" s="47">
        <v>123494</v>
      </c>
      <c r="P35" s="47">
        <v>117801</v>
      </c>
      <c r="Q35" s="115">
        <v>113178</v>
      </c>
      <c r="R35" s="47">
        <v>112473</v>
      </c>
      <c r="S35" s="47"/>
      <c r="T35" s="114">
        <v>11665</v>
      </c>
      <c r="U35" s="47">
        <v>665</v>
      </c>
      <c r="V35" s="47">
        <v>665</v>
      </c>
      <c r="W35" s="47">
        <v>665</v>
      </c>
      <c r="X35" s="114">
        <v>11000</v>
      </c>
      <c r="Y35" s="47">
        <v>0</v>
      </c>
      <c r="Z35" s="47">
        <v>0</v>
      </c>
      <c r="AA35" s="47">
        <v>1884</v>
      </c>
      <c r="AB35" s="47"/>
      <c r="AC35" s="16">
        <f t="shared" ref="AC35:AC66" si="8">I35+X35*0.1</f>
        <v>41906</v>
      </c>
      <c r="AD35" s="16">
        <f t="shared" ref="AD35:AD66" si="9">N35+0.1*T35</f>
        <v>111154.5</v>
      </c>
      <c r="AE35" s="16">
        <f>SUM(AC35*'Factors &amp; Percentages'!$E$27+AD35*'Factors &amp; Percentages'!$E$28)</f>
        <v>11270.458818378262</v>
      </c>
      <c r="AF35" s="16"/>
      <c r="AG35" s="101">
        <v>0.1</v>
      </c>
      <c r="AH35" s="18">
        <f>AG35*'Factors &amp; Percentages'!$E$31</f>
        <v>1309.9846088755494</v>
      </c>
      <c r="AI35" s="18"/>
      <c r="AJ35" s="18">
        <v>6607</v>
      </c>
      <c r="AK35" s="18">
        <f>AJ35*'Factors &amp; Percentages'!$E$34</f>
        <v>13824.288984030893</v>
      </c>
      <c r="AL35" s="18"/>
      <c r="AM35" s="30">
        <v>18</v>
      </c>
      <c r="AN35" s="30">
        <v>18</v>
      </c>
      <c r="AO35" s="30">
        <v>69</v>
      </c>
      <c r="AP35" s="116">
        <v>69</v>
      </c>
      <c r="AQ35" s="115">
        <v>1074</v>
      </c>
      <c r="AR35" s="115">
        <f t="shared" si="3"/>
        <v>1074</v>
      </c>
      <c r="AS35" s="18">
        <f>AN35*'Factors &amp; Percentages'!$E$37+AP35*'Factors &amp; Percentages'!$E$38+AR35*'Factors &amp; Percentages'!$E$39</f>
        <v>4073.3488768145903</v>
      </c>
      <c r="AT35" s="18"/>
      <c r="AU35" s="18">
        <f t="shared" si="4"/>
        <v>30478.081288099296</v>
      </c>
      <c r="AV35" s="69">
        <f t="shared" si="5"/>
        <v>30478.081288099296</v>
      </c>
      <c r="AW35" s="46">
        <f>IF($BG35&gt;$AV35,$BG35*(1+'Factors &amp; Percentages'!$B$24),
IF($AU35&gt;$AV35,$AV35,
IF($AU35&gt;$BG35,$AU35,
$BG35*(1+'Factors &amp; Percentages'!$B$24))))</f>
        <v>30478.081288099296</v>
      </c>
      <c r="AX35" s="46">
        <f t="shared" si="6"/>
        <v>21544.18604651163</v>
      </c>
      <c r="AY35" s="69"/>
      <c r="AZ35" s="27"/>
      <c r="BA35" s="21">
        <v>18806.073723386136</v>
      </c>
      <c r="BB35" s="46">
        <v>17785.600000000002</v>
      </c>
      <c r="BC35" s="119">
        <v>16470</v>
      </c>
      <c r="BD35" s="120">
        <v>13041.6</v>
      </c>
      <c r="BE35" s="89">
        <v>17833.025000000001</v>
      </c>
      <c r="BF35" s="69"/>
      <c r="BG35" s="73">
        <v>11000</v>
      </c>
      <c r="BH35" s="73">
        <v>8337</v>
      </c>
      <c r="BI35" s="117">
        <v>12000</v>
      </c>
      <c r="BJ35" s="118">
        <v>6000</v>
      </c>
      <c r="BK35" s="106">
        <v>10000</v>
      </c>
      <c r="BL35" s="106">
        <v>13453</v>
      </c>
      <c r="BM35" s="106">
        <v>13453</v>
      </c>
    </row>
    <row r="36" spans="1:65" x14ac:dyDescent="0.3">
      <c r="A36" s="121" t="s">
        <v>181</v>
      </c>
      <c r="B36" s="121" t="s">
        <v>181</v>
      </c>
      <c r="C36" s="174" t="s">
        <v>181</v>
      </c>
      <c r="D36" s="122" t="s">
        <v>295</v>
      </c>
      <c r="E36" s="173" t="s">
        <v>296</v>
      </c>
      <c r="F36" s="111"/>
      <c r="G36" s="185">
        <f t="shared" si="7"/>
        <v>49836.15</v>
      </c>
      <c r="H36" s="186"/>
      <c r="I36" s="187">
        <v>72710</v>
      </c>
      <c r="J36" s="188">
        <v>73706</v>
      </c>
      <c r="K36" s="189">
        <v>75587</v>
      </c>
      <c r="L36" s="123">
        <v>58033</v>
      </c>
      <c r="M36" s="123">
        <v>53587</v>
      </c>
      <c r="N36" s="190">
        <v>59383</v>
      </c>
      <c r="O36" s="189">
        <v>65006</v>
      </c>
      <c r="P36" s="188">
        <v>68108</v>
      </c>
      <c r="Q36" s="208">
        <v>59451</v>
      </c>
      <c r="R36" s="123">
        <v>64312</v>
      </c>
      <c r="S36" s="188"/>
      <c r="T36" s="187">
        <v>132563</v>
      </c>
      <c r="U36" s="188">
        <v>45099</v>
      </c>
      <c r="V36" s="189">
        <v>31756</v>
      </c>
      <c r="W36" s="123">
        <v>24124</v>
      </c>
      <c r="X36" s="190">
        <v>4480</v>
      </c>
      <c r="Y36" s="189">
        <v>15697</v>
      </c>
      <c r="Z36" s="188">
        <v>9435</v>
      </c>
      <c r="AA36" s="123">
        <v>1985</v>
      </c>
      <c r="AB36" s="191"/>
      <c r="AC36" s="204">
        <f t="shared" si="8"/>
        <v>73158</v>
      </c>
      <c r="AD36" s="205">
        <f t="shared" si="9"/>
        <v>72639.3</v>
      </c>
      <c r="AE36" s="204">
        <f>SUM(AC36*'Factors &amp; Percentages'!$E$27+AD36*'Factors &amp; Percentages'!$E$28)</f>
        <v>11518.955983007289</v>
      </c>
      <c r="AF36" s="16"/>
      <c r="AG36" s="125">
        <v>1</v>
      </c>
      <c r="AH36" s="204">
        <f>AG36*'Factors &amp; Percentages'!$E$31</f>
        <v>13099.846088755494</v>
      </c>
      <c r="AI36" s="18"/>
      <c r="AJ36" s="126">
        <v>2834</v>
      </c>
      <c r="AK36" s="204">
        <f>AJ36*'Factors &amp; Percentages'!$E$34</f>
        <v>5929.7767490152191</v>
      </c>
      <c r="AL36" s="18"/>
      <c r="AM36" s="124">
        <v>50</v>
      </c>
      <c r="AN36" s="211">
        <v>45</v>
      </c>
      <c r="AO36" s="124">
        <v>97</v>
      </c>
      <c r="AP36" s="212">
        <v>89</v>
      </c>
      <c r="AQ36" s="135">
        <v>17091</v>
      </c>
      <c r="AR36" s="179">
        <f t="shared" si="3"/>
        <v>17091</v>
      </c>
      <c r="AS36" s="205">
        <f>AN36*'Factors &amp; Percentages'!$E$37+AP36*'Factors &amp; Percentages'!$E$38+AR36*'Factors &amp; Percentages'!$E$39</f>
        <v>11167.125966019834</v>
      </c>
      <c r="AT36" s="18"/>
      <c r="AU36" s="203">
        <f t="shared" si="4"/>
        <v>41715.704786797833</v>
      </c>
      <c r="AV36" s="213">
        <f t="shared" si="5"/>
        <v>41715.704786797833</v>
      </c>
      <c r="AW36" s="196">
        <f>IF($BG36&gt;$AV36,$BG36*(1+'Factors &amp; Percentages'!$B$24),
IF($AU36&gt;$AV36,$AV36,
IF($AU36&gt;$BG36,$AU36,
$BG36*(1+'Factors &amp; Percentages'!$B$24))))</f>
        <v>49836.15</v>
      </c>
      <c r="AX36" s="185">
        <f t="shared" si="6"/>
        <v>49836.15</v>
      </c>
      <c r="AY36" s="127"/>
      <c r="AZ36" s="27"/>
      <c r="BA36" s="223">
        <v>47463.15</v>
      </c>
      <c r="BB36" s="185">
        <v>45202.5</v>
      </c>
      <c r="BC36" s="204">
        <v>43050</v>
      </c>
      <c r="BD36" s="218">
        <v>51249.999999999993</v>
      </c>
      <c r="BE36" s="224">
        <v>57010.499999999993</v>
      </c>
      <c r="BF36" s="219"/>
      <c r="BG36" s="221">
        <v>47463</v>
      </c>
      <c r="BH36" s="226">
        <v>45203</v>
      </c>
      <c r="BI36" s="220">
        <v>43050</v>
      </c>
      <c r="BJ36" s="227">
        <v>41000</v>
      </c>
      <c r="BK36" s="221">
        <v>50000</v>
      </c>
      <c r="BL36" s="128">
        <v>55620</v>
      </c>
      <c r="BM36" s="128">
        <v>55620</v>
      </c>
    </row>
    <row r="37" spans="1:65" x14ac:dyDescent="0.3">
      <c r="A37" s="111" t="s">
        <v>330</v>
      </c>
      <c r="B37" s="111" t="s">
        <v>331</v>
      </c>
      <c r="C37" s="112" t="s">
        <v>94</v>
      </c>
      <c r="D37" s="113" t="s">
        <v>295</v>
      </c>
      <c r="E37" s="113" t="s">
        <v>295</v>
      </c>
      <c r="F37" s="111"/>
      <c r="G37" s="46">
        <f t="shared" si="7"/>
        <v>26374.733141591347</v>
      </c>
      <c r="H37" s="111"/>
      <c r="I37" s="114">
        <v>45272</v>
      </c>
      <c r="J37" s="47">
        <v>47419</v>
      </c>
      <c r="K37" s="47">
        <v>50320</v>
      </c>
      <c r="L37" s="47">
        <v>39337</v>
      </c>
      <c r="M37" s="47">
        <v>34310</v>
      </c>
      <c r="N37" s="114">
        <v>23973</v>
      </c>
      <c r="O37" s="47">
        <v>22859</v>
      </c>
      <c r="P37" s="47">
        <v>42905</v>
      </c>
      <c r="Q37" s="115">
        <v>60985</v>
      </c>
      <c r="R37" s="47">
        <v>95713</v>
      </c>
      <c r="S37" s="47"/>
      <c r="T37" s="114">
        <v>4908</v>
      </c>
      <c r="U37" s="47">
        <v>4906</v>
      </c>
      <c r="V37" s="47">
        <v>6473</v>
      </c>
      <c r="W37" s="47">
        <v>9596</v>
      </c>
      <c r="X37" s="114">
        <v>2</v>
      </c>
      <c r="Y37" s="47">
        <v>501</v>
      </c>
      <c r="Z37" s="47">
        <v>202</v>
      </c>
      <c r="AA37" s="47">
        <v>0</v>
      </c>
      <c r="AB37" s="47"/>
      <c r="AC37" s="16">
        <f t="shared" si="8"/>
        <v>45272.2</v>
      </c>
      <c r="AD37" s="16">
        <f t="shared" si="9"/>
        <v>24463.8</v>
      </c>
      <c r="AE37" s="16">
        <f>SUM(AC37*'Factors &amp; Percentages'!$E$27+AD37*'Factors &amp; Percentages'!$E$28)</f>
        <v>5751.8598877577497</v>
      </c>
      <c r="AF37" s="16"/>
      <c r="AG37" s="101">
        <v>0.7</v>
      </c>
      <c r="AH37" s="18">
        <f>AG37*'Factors &amp; Percentages'!$E$31</f>
        <v>9169.8922621288457</v>
      </c>
      <c r="AI37" s="18"/>
      <c r="AJ37" s="18">
        <v>661</v>
      </c>
      <c r="AK37" s="18">
        <f>AJ37*'Factors &amp; Percentages'!$E$34</f>
        <v>1383.0566094209807</v>
      </c>
      <c r="AL37" s="18"/>
      <c r="AM37" s="137">
        <v>51</v>
      </c>
      <c r="AN37" s="30">
        <v>40</v>
      </c>
      <c r="AO37" s="137">
        <v>110</v>
      </c>
      <c r="AP37" s="116">
        <v>109</v>
      </c>
      <c r="AQ37" s="115">
        <v>12463</v>
      </c>
      <c r="AR37" s="115">
        <f t="shared" si="3"/>
        <v>12463</v>
      </c>
      <c r="AS37" s="18">
        <f>AN37*'Factors &amp; Percentages'!$E$37+AP37*'Factors &amp; Percentages'!$E$38+AR37*'Factors &amp; Percentages'!$E$39</f>
        <v>10069.924382283771</v>
      </c>
      <c r="AT37" s="18"/>
      <c r="AU37" s="18">
        <f t="shared" si="4"/>
        <v>26374.733141591347</v>
      </c>
      <c r="AV37" s="69">
        <f t="shared" si="5"/>
        <v>26374.733141591347</v>
      </c>
      <c r="AW37" s="46">
        <f>IF($BG37&gt;$AV37,$BG37*(1+'Factors &amp; Percentages'!$B$24),
IF($AU37&gt;$AV37,$AV37,
IF($AU37&gt;$BG37,$AU37,
$BG37*(1+'Factors &amp; Percentages'!$B$24))))</f>
        <v>26374.733141591347</v>
      </c>
      <c r="AX37" s="46">
        <f t="shared" si="6"/>
        <v>26374.733141591347</v>
      </c>
      <c r="AY37" s="69"/>
      <c r="AZ37" s="27"/>
      <c r="BA37" s="21">
        <v>25465.519558913646</v>
      </c>
      <c r="BB37" s="46">
        <v>25311</v>
      </c>
      <c r="BC37" s="119">
        <v>31500</v>
      </c>
      <c r="BD37" s="120">
        <v>37192.125</v>
      </c>
      <c r="BE37" s="120">
        <v>36284.707011051069</v>
      </c>
      <c r="BF37" s="69"/>
      <c r="BG37" s="73">
        <v>12000</v>
      </c>
      <c r="BH37" s="73">
        <v>18000</v>
      </c>
      <c r="BI37" s="117">
        <v>18000</v>
      </c>
      <c r="BJ37" s="118">
        <v>30000</v>
      </c>
      <c r="BK37" s="106">
        <v>36285</v>
      </c>
      <c r="BL37" s="106">
        <v>27291</v>
      </c>
      <c r="BM37" s="106">
        <v>26625</v>
      </c>
    </row>
    <row r="38" spans="1:65" x14ac:dyDescent="0.3">
      <c r="A38" s="121" t="s">
        <v>21</v>
      </c>
      <c r="B38" s="121" t="s">
        <v>21</v>
      </c>
      <c r="C38" s="174" t="s">
        <v>21</v>
      </c>
      <c r="D38" s="122" t="s">
        <v>279</v>
      </c>
      <c r="E38" s="173" t="s">
        <v>279</v>
      </c>
      <c r="F38" s="111"/>
      <c r="G38" s="185">
        <f t="shared" si="7"/>
        <v>10193.950000000001</v>
      </c>
      <c r="H38" s="186"/>
      <c r="I38" s="187">
        <v>15683</v>
      </c>
      <c r="J38" s="188">
        <v>16582</v>
      </c>
      <c r="K38" s="189">
        <v>15381</v>
      </c>
      <c r="L38" s="123">
        <v>13890</v>
      </c>
      <c r="M38" s="123">
        <v>14660</v>
      </c>
      <c r="N38" s="190">
        <v>7963</v>
      </c>
      <c r="O38" s="189">
        <v>5214</v>
      </c>
      <c r="P38" s="188">
        <v>10303</v>
      </c>
      <c r="Q38" s="208">
        <v>14392</v>
      </c>
      <c r="R38" s="123">
        <v>23947</v>
      </c>
      <c r="S38" s="188"/>
      <c r="T38" s="187">
        <v>65052</v>
      </c>
      <c r="U38" s="188">
        <v>70212</v>
      </c>
      <c r="V38" s="189">
        <v>75197</v>
      </c>
      <c r="W38" s="123">
        <v>80178</v>
      </c>
      <c r="X38" s="190">
        <v>20</v>
      </c>
      <c r="Y38" s="189">
        <v>15</v>
      </c>
      <c r="Z38" s="188">
        <v>1289</v>
      </c>
      <c r="AA38" s="123">
        <v>43</v>
      </c>
      <c r="AB38" s="191"/>
      <c r="AC38" s="204">
        <f t="shared" si="8"/>
        <v>15685</v>
      </c>
      <c r="AD38" s="205">
        <f t="shared" si="9"/>
        <v>14468.2</v>
      </c>
      <c r="AE38" s="204">
        <f>SUM(AC38*'Factors &amp; Percentages'!$E$27+AD38*'Factors &amp; Percentages'!$E$28)</f>
        <v>2395.3762645618763</v>
      </c>
      <c r="AF38" s="16"/>
      <c r="AG38" s="125">
        <v>1</v>
      </c>
      <c r="AH38" s="204">
        <f>AG38*'Factors &amp; Percentages'!$E$31</f>
        <v>13099.846088755494</v>
      </c>
      <c r="AI38" s="18"/>
      <c r="AJ38" s="126">
        <v>415</v>
      </c>
      <c r="AK38" s="204">
        <f>AJ38*'Factors &amp; Percentages'!$E$34</f>
        <v>868.333574749935</v>
      </c>
      <c r="AL38" s="18"/>
      <c r="AM38" s="124">
        <v>15</v>
      </c>
      <c r="AN38" s="211">
        <v>20</v>
      </c>
      <c r="AO38" s="124">
        <v>42</v>
      </c>
      <c r="AP38" s="212">
        <v>42</v>
      </c>
      <c r="AQ38" s="135">
        <v>4250</v>
      </c>
      <c r="AR38" s="179">
        <f t="shared" si="3"/>
        <v>4250</v>
      </c>
      <c r="AS38" s="205">
        <f>AN38*'Factors &amp; Percentages'!$E$37+AP38*'Factors &amp; Percentages'!$E$38+AR38*'Factors &amp; Percentages'!$E$39</f>
        <v>4337.2303574251346</v>
      </c>
      <c r="AT38" s="18"/>
      <c r="AU38" s="203">
        <f t="shared" si="4"/>
        <v>20700.786285492439</v>
      </c>
      <c r="AV38" s="213">
        <f t="shared" si="5"/>
        <v>10193.950000000001</v>
      </c>
      <c r="AW38" s="196">
        <f>IF($BG38&gt;$AV38,$BG38*(1+'Factors &amp; Percentages'!$B$24),
IF($AU38&gt;$AV38,$AV38,
IF($AU38&gt;$BG38,$AU38,
$BG38*(1+'Factors &amp; Percentages'!$B$24))))</f>
        <v>10193.950000000001</v>
      </c>
      <c r="AX38" s="185">
        <f t="shared" si="6"/>
        <v>10193.950000000001</v>
      </c>
      <c r="AY38" s="127"/>
      <c r="AZ38" s="27"/>
      <c r="BA38" s="223">
        <v>10778.300000000001</v>
      </c>
      <c r="BB38" s="185">
        <v>9997.65</v>
      </c>
      <c r="BC38" s="204">
        <v>10500</v>
      </c>
      <c r="BD38" s="218">
        <v>10250</v>
      </c>
      <c r="BE38" s="224">
        <v>11126.5</v>
      </c>
      <c r="BF38" s="219"/>
      <c r="BG38" s="221">
        <v>3000</v>
      </c>
      <c r="BH38" s="226">
        <v>3000</v>
      </c>
      <c r="BI38" s="220">
        <v>3000</v>
      </c>
      <c r="BJ38" s="227">
        <v>10000</v>
      </c>
      <c r="BK38" s="221">
        <v>10000</v>
      </c>
      <c r="BL38" s="128">
        <v>8000</v>
      </c>
      <c r="BM38" s="128">
        <v>7500</v>
      </c>
    </row>
    <row r="39" spans="1:65" x14ac:dyDescent="0.3">
      <c r="A39" s="111" t="s">
        <v>95</v>
      </c>
      <c r="B39" s="111" t="s">
        <v>95</v>
      </c>
      <c r="C39" s="112" t="s">
        <v>95</v>
      </c>
      <c r="D39" s="113" t="s">
        <v>295</v>
      </c>
      <c r="E39" s="113" t="s">
        <v>295</v>
      </c>
      <c r="F39" s="111"/>
      <c r="G39" s="46">
        <f t="shared" si="7"/>
        <v>16809</v>
      </c>
      <c r="H39" s="111"/>
      <c r="I39" s="114">
        <v>25860</v>
      </c>
      <c r="J39" s="47">
        <v>23350</v>
      </c>
      <c r="K39" s="47">
        <v>24152</v>
      </c>
      <c r="L39" s="47">
        <v>14215</v>
      </c>
      <c r="M39" s="47">
        <v>19210</v>
      </c>
      <c r="N39" s="114">
        <v>20851</v>
      </c>
      <c r="O39" s="47">
        <v>28957</v>
      </c>
      <c r="P39" s="47">
        <v>31722</v>
      </c>
      <c r="Q39" s="115">
        <v>24876</v>
      </c>
      <c r="R39" s="47">
        <v>28567</v>
      </c>
      <c r="S39" s="47"/>
      <c r="T39" s="114">
        <v>0</v>
      </c>
      <c r="U39" s="47">
        <v>0</v>
      </c>
      <c r="V39" s="47">
        <v>0</v>
      </c>
      <c r="W39" s="47">
        <v>0</v>
      </c>
      <c r="X39" s="114">
        <v>261</v>
      </c>
      <c r="Y39" s="47">
        <v>436</v>
      </c>
      <c r="Z39" s="47">
        <v>865</v>
      </c>
      <c r="AA39" s="47">
        <v>615</v>
      </c>
      <c r="AB39" s="47"/>
      <c r="AC39" s="16">
        <f t="shared" si="8"/>
        <v>25886.1</v>
      </c>
      <c r="AD39" s="16">
        <f t="shared" si="9"/>
        <v>20851</v>
      </c>
      <c r="AE39" s="16">
        <f>SUM(AC39*'Factors &amp; Percentages'!$E$27+AD39*'Factors &amp; Percentages'!$E$28)</f>
        <v>3749.9086614543749</v>
      </c>
      <c r="AF39" s="16"/>
      <c r="AG39" s="101">
        <v>0.25</v>
      </c>
      <c r="AH39" s="18">
        <f>AG39*'Factors &amp; Percentages'!$E$31</f>
        <v>3274.9615221888735</v>
      </c>
      <c r="AI39" s="18"/>
      <c r="AJ39" s="18">
        <v>5215</v>
      </c>
      <c r="AK39" s="18">
        <f>AJ39*'Factors &amp; Percentages'!$E$34</f>
        <v>10911.709861014244</v>
      </c>
      <c r="AL39" s="18"/>
      <c r="AM39" s="30">
        <v>14</v>
      </c>
      <c r="AN39" s="30">
        <v>14</v>
      </c>
      <c r="AO39" s="30">
        <v>34</v>
      </c>
      <c r="AP39" s="116">
        <v>34</v>
      </c>
      <c r="AQ39" s="115">
        <v>4502</v>
      </c>
      <c r="AR39" s="115">
        <f t="shared" si="3"/>
        <v>4502</v>
      </c>
      <c r="AS39" s="18">
        <f>AN39*'Factors &amp; Percentages'!$E$37+AP39*'Factors &amp; Percentages'!$E$38+AR39*'Factors &amp; Percentages'!$E$39</f>
        <v>3455.7395433211977</v>
      </c>
      <c r="AT39" s="18"/>
      <c r="AU39" s="18">
        <f t="shared" si="4"/>
        <v>21392.319587978691</v>
      </c>
      <c r="AV39" s="69">
        <f t="shared" si="5"/>
        <v>16809</v>
      </c>
      <c r="AW39" s="46">
        <f>IF($BG39&gt;$AV39,$BG39*(1+'Factors &amp; Percentages'!$B$24),
IF($AU39&gt;$AV39,$AV39,
IF($AU39&gt;$BG39,$AU39,
$BG39*(1+'Factors &amp; Percentages'!$B$24))))</f>
        <v>16809</v>
      </c>
      <c r="AX39" s="46">
        <f t="shared" si="6"/>
        <v>16809</v>
      </c>
      <c r="AY39" s="69"/>
      <c r="AZ39" s="27"/>
      <c r="BA39" s="21">
        <v>19866.96105249531</v>
      </c>
      <c r="BB39" s="46">
        <v>20533</v>
      </c>
      <c r="BC39" s="119">
        <v>9240</v>
      </c>
      <c r="BD39" s="120">
        <v>12486.5</v>
      </c>
      <c r="BE39" s="120">
        <v>17053.7</v>
      </c>
      <c r="BF39" s="69"/>
      <c r="BG39" s="73">
        <v>6000</v>
      </c>
      <c r="BH39" s="73">
        <v>6000</v>
      </c>
      <c r="BI39" s="117">
        <v>8000</v>
      </c>
      <c r="BJ39" s="118">
        <v>6000</v>
      </c>
      <c r="BK39" s="106">
        <v>6000</v>
      </c>
      <c r="BL39" s="106">
        <v>14000</v>
      </c>
      <c r="BM39" s="106">
        <v>22457</v>
      </c>
    </row>
    <row r="40" spans="1:65" x14ac:dyDescent="0.3">
      <c r="A40" s="121" t="s">
        <v>332</v>
      </c>
      <c r="B40" s="121" t="s">
        <v>332</v>
      </c>
      <c r="C40" s="174" t="s">
        <v>227</v>
      </c>
      <c r="D40" s="122" t="s">
        <v>279</v>
      </c>
      <c r="E40" s="173" t="s">
        <v>279</v>
      </c>
      <c r="F40" s="111"/>
      <c r="G40" s="185">
        <f t="shared" si="7"/>
        <v>24300.178788130004</v>
      </c>
      <c r="H40" s="186"/>
      <c r="I40" s="187">
        <v>42685</v>
      </c>
      <c r="J40" s="188">
        <v>33602</v>
      </c>
      <c r="K40" s="189">
        <v>39573</v>
      </c>
      <c r="L40" s="123">
        <v>32236</v>
      </c>
      <c r="M40" s="123">
        <v>30025</v>
      </c>
      <c r="N40" s="190">
        <v>69129</v>
      </c>
      <c r="O40" s="189">
        <v>60354</v>
      </c>
      <c r="P40" s="188">
        <v>58762</v>
      </c>
      <c r="Q40" s="208">
        <v>53344</v>
      </c>
      <c r="R40" s="123">
        <v>11725</v>
      </c>
      <c r="S40" s="188"/>
      <c r="T40" s="187">
        <v>550</v>
      </c>
      <c r="U40" s="188">
        <v>0</v>
      </c>
      <c r="V40" s="189">
        <v>0</v>
      </c>
      <c r="W40" s="123">
        <v>0</v>
      </c>
      <c r="X40" s="190">
        <v>550</v>
      </c>
      <c r="Y40" s="189">
        <v>0</v>
      </c>
      <c r="Z40" s="188">
        <v>0</v>
      </c>
      <c r="AA40" s="123">
        <v>0</v>
      </c>
      <c r="AB40" s="191"/>
      <c r="AC40" s="204">
        <f t="shared" si="8"/>
        <v>42740</v>
      </c>
      <c r="AD40" s="205">
        <f t="shared" si="9"/>
        <v>69184</v>
      </c>
      <c r="AE40" s="204">
        <f>SUM(AC40*'Factors &amp; Percentages'!$E$27+AD40*'Factors &amp; Percentages'!$E$28)</f>
        <v>8526.4713128802814</v>
      </c>
      <c r="AF40" s="16"/>
      <c r="AG40" s="125">
        <v>0.5</v>
      </c>
      <c r="AH40" s="204">
        <f>AG40*'Factors &amp; Percentages'!$E$31</f>
        <v>6549.9230443777469</v>
      </c>
      <c r="AI40" s="18"/>
      <c r="AJ40" s="126">
        <v>1296</v>
      </c>
      <c r="AK40" s="204">
        <f>AJ40*'Factors &amp; Percentages'!$E$34</f>
        <v>2711.7115972913634</v>
      </c>
      <c r="AL40" s="18"/>
      <c r="AM40" s="124">
        <v>18</v>
      </c>
      <c r="AN40" s="211">
        <v>21</v>
      </c>
      <c r="AO40" s="124">
        <v>54</v>
      </c>
      <c r="AP40" s="212">
        <v>47</v>
      </c>
      <c r="AQ40" s="135">
        <v>13718</v>
      </c>
      <c r="AR40" s="179">
        <f t="shared" si="3"/>
        <v>13718</v>
      </c>
      <c r="AS40" s="205">
        <f>AN40*'Factors &amp; Percentages'!$E$37+AP40*'Factors &amp; Percentages'!$E$38+AR40*'Factors &amp; Percentages'!$E$39</f>
        <v>6512.0728335806107</v>
      </c>
      <c r="AT40" s="18"/>
      <c r="AU40" s="203">
        <f t="shared" si="4"/>
        <v>24300.178788130004</v>
      </c>
      <c r="AV40" s="213">
        <f t="shared" si="5"/>
        <v>24300.178788130004</v>
      </c>
      <c r="AW40" s="196">
        <f>IF($BG40&gt;$AV40,$BG40*(1+'Factors &amp; Percentages'!$B$24),
IF($AU40&gt;$AV40,$AV40,
IF($AU40&gt;$BG40,$AU40,
$BG40*(1+'Factors &amp; Percentages'!$B$24))))</f>
        <v>24300.178788130004</v>
      </c>
      <c r="AX40" s="185">
        <f t="shared" si="6"/>
        <v>24300.178788130004</v>
      </c>
      <c r="AY40" s="127"/>
      <c r="AZ40" s="27"/>
      <c r="BA40" s="223">
        <v>20632.126559420871</v>
      </c>
      <c r="BB40" s="185">
        <v>19453</v>
      </c>
      <c r="BC40" s="204">
        <v>20953</v>
      </c>
      <c r="BD40" s="218">
        <v>19516.25</v>
      </c>
      <c r="BE40" s="224">
        <v>27281.399999999998</v>
      </c>
      <c r="BF40" s="219"/>
      <c r="BG40" s="221">
        <v>13200</v>
      </c>
      <c r="BH40" s="226">
        <v>13000</v>
      </c>
      <c r="BI40" s="220">
        <v>12000</v>
      </c>
      <c r="BJ40" s="227">
        <v>11000</v>
      </c>
      <c r="BK40" s="221">
        <v>6000</v>
      </c>
      <c r="BL40" s="128">
        <v>26616</v>
      </c>
      <c r="BM40" s="128">
        <v>26616</v>
      </c>
    </row>
    <row r="41" spans="1:65" x14ac:dyDescent="0.3">
      <c r="A41" s="111" t="s">
        <v>22</v>
      </c>
      <c r="B41" s="111" t="s">
        <v>22</v>
      </c>
      <c r="C41" s="112" t="s">
        <v>22</v>
      </c>
      <c r="D41" s="113" t="s">
        <v>279</v>
      </c>
      <c r="E41" s="113" t="s">
        <v>279</v>
      </c>
      <c r="F41" s="111"/>
      <c r="G41" s="46">
        <f t="shared" si="7"/>
        <v>11357.504902269211</v>
      </c>
      <c r="H41" s="111"/>
      <c r="I41" s="114">
        <v>23498</v>
      </c>
      <c r="J41" s="47">
        <v>16702</v>
      </c>
      <c r="K41" s="47">
        <v>21311</v>
      </c>
      <c r="L41" s="47">
        <v>15870</v>
      </c>
      <c r="M41" s="47">
        <v>14589</v>
      </c>
      <c r="N41" s="114">
        <v>2141</v>
      </c>
      <c r="O41" s="47">
        <v>1149</v>
      </c>
      <c r="P41" s="47">
        <v>6313</v>
      </c>
      <c r="Q41" s="115">
        <v>3015</v>
      </c>
      <c r="R41" s="47">
        <v>1824</v>
      </c>
      <c r="S41" s="47"/>
      <c r="T41" s="114">
        <v>8274</v>
      </c>
      <c r="U41" s="47">
        <v>5235</v>
      </c>
      <c r="V41" s="47">
        <v>4290</v>
      </c>
      <c r="W41" s="47">
        <v>3512</v>
      </c>
      <c r="X41" s="114">
        <v>4152</v>
      </c>
      <c r="Y41" s="47">
        <v>5235</v>
      </c>
      <c r="Z41" s="47">
        <v>0</v>
      </c>
      <c r="AA41" s="47">
        <v>749</v>
      </c>
      <c r="AB41" s="47"/>
      <c r="AC41" s="16">
        <f t="shared" si="8"/>
        <v>23913.200000000001</v>
      </c>
      <c r="AD41" s="16">
        <f t="shared" si="9"/>
        <v>2968.4</v>
      </c>
      <c r="AE41" s="16">
        <f>SUM(AC41*'Factors &amp; Percentages'!$E$27+AD41*'Factors &amp; Percentages'!$E$28)</f>
        <v>2369.4809112297507</v>
      </c>
      <c r="AF41" s="16"/>
      <c r="AG41" s="101">
        <v>0.25</v>
      </c>
      <c r="AH41" s="18">
        <f>AG41*'Factors &amp; Percentages'!$E$31</f>
        <v>3274.9615221888735</v>
      </c>
      <c r="AI41" s="18"/>
      <c r="AJ41" s="18">
        <v>1520</v>
      </c>
      <c r="AK41" s="18">
        <f>AJ41*'Factors &amp; Percentages'!$E$34</f>
        <v>3180.4024906503646</v>
      </c>
      <c r="AL41" s="18"/>
      <c r="AM41" s="140">
        <v>18</v>
      </c>
      <c r="AN41" s="30">
        <v>15</v>
      </c>
      <c r="AO41" s="30">
        <v>21</v>
      </c>
      <c r="AP41" s="116">
        <v>21</v>
      </c>
      <c r="AQ41" s="115">
        <v>866</v>
      </c>
      <c r="AR41" s="115">
        <f t="shared" si="3"/>
        <v>866</v>
      </c>
      <c r="AS41" s="18">
        <f>AN41*'Factors &amp; Percentages'!$E$37+AP41*'Factors &amp; Percentages'!$E$38+AR41*'Factors &amp; Percentages'!$E$39</f>
        <v>2532.659978200224</v>
      </c>
      <c r="AT41" s="18"/>
      <c r="AU41" s="18">
        <f t="shared" si="4"/>
        <v>11357.504902269211</v>
      </c>
      <c r="AV41" s="69">
        <f t="shared" si="5"/>
        <v>11357.504902269211</v>
      </c>
      <c r="AW41" s="46">
        <f>IF($BG41&gt;$AV41,$BG41*(1+'Factors &amp; Percentages'!$B$24),
IF($AU41&gt;$AV41,$AV41,
IF($AU41&gt;$BG41,$AU41,
$BG41*(1+'Factors &amp; Percentages'!$B$24))))</f>
        <v>11357.504902269211</v>
      </c>
      <c r="AX41" s="46">
        <f t="shared" si="6"/>
        <v>11357.504902269211</v>
      </c>
      <c r="AY41" s="69"/>
      <c r="AZ41" s="27"/>
      <c r="BA41" s="21">
        <v>11866.050000000001</v>
      </c>
      <c r="BB41" s="46">
        <v>11866.050000000001</v>
      </c>
      <c r="BC41" s="119">
        <v>11301</v>
      </c>
      <c r="BD41" s="120">
        <v>11032.074999999999</v>
      </c>
      <c r="BE41" s="120">
        <v>10762.499999999998</v>
      </c>
      <c r="BF41" s="69"/>
      <c r="BG41" s="73">
        <v>11301</v>
      </c>
      <c r="BH41" s="73">
        <v>11301</v>
      </c>
      <c r="BI41" s="117">
        <v>11301</v>
      </c>
      <c r="BJ41" s="118">
        <v>10763</v>
      </c>
      <c r="BK41" s="106">
        <v>10763</v>
      </c>
      <c r="BL41" s="106">
        <v>10500</v>
      </c>
      <c r="BM41" s="106">
        <v>10500</v>
      </c>
    </row>
    <row r="42" spans="1:65" x14ac:dyDescent="0.3">
      <c r="A42" s="121" t="s">
        <v>113</v>
      </c>
      <c r="B42" s="121" t="s">
        <v>113</v>
      </c>
      <c r="C42" s="174" t="s">
        <v>113</v>
      </c>
      <c r="D42" s="122" t="s">
        <v>302</v>
      </c>
      <c r="E42" s="173" t="s">
        <v>112</v>
      </c>
      <c r="F42" s="111"/>
      <c r="G42" s="185">
        <f t="shared" si="7"/>
        <v>20258.719826603923</v>
      </c>
      <c r="H42" s="186"/>
      <c r="I42" s="187">
        <v>16014</v>
      </c>
      <c r="J42" s="188">
        <v>13174</v>
      </c>
      <c r="K42" s="189">
        <v>10659</v>
      </c>
      <c r="L42" s="123">
        <v>8512</v>
      </c>
      <c r="M42" s="123">
        <v>9446</v>
      </c>
      <c r="N42" s="190">
        <v>30017</v>
      </c>
      <c r="O42" s="189">
        <v>30702</v>
      </c>
      <c r="P42" s="188">
        <v>43372</v>
      </c>
      <c r="Q42" s="208">
        <v>48569</v>
      </c>
      <c r="R42" s="123">
        <v>48959</v>
      </c>
      <c r="S42" s="188"/>
      <c r="T42" s="187">
        <v>8374</v>
      </c>
      <c r="U42" s="188">
        <v>8374</v>
      </c>
      <c r="V42" s="189">
        <v>9357</v>
      </c>
      <c r="W42" s="123">
        <v>9357</v>
      </c>
      <c r="X42" s="190">
        <v>0</v>
      </c>
      <c r="Y42" s="189">
        <v>20</v>
      </c>
      <c r="Z42" s="188">
        <v>0</v>
      </c>
      <c r="AA42" s="123">
        <v>685</v>
      </c>
      <c r="AB42" s="191"/>
      <c r="AC42" s="204">
        <f t="shared" si="8"/>
        <v>16014</v>
      </c>
      <c r="AD42" s="205">
        <f t="shared" si="9"/>
        <v>30854.400000000001</v>
      </c>
      <c r="AE42" s="204">
        <f>SUM(AC42*'Factors &amp; Percentages'!$E$27+AD42*'Factors &amp; Percentages'!$E$28)</f>
        <v>3526.0931516112573</v>
      </c>
      <c r="AF42" s="16"/>
      <c r="AG42" s="125">
        <v>0.2</v>
      </c>
      <c r="AH42" s="204">
        <f>AG42*'Factors &amp; Percentages'!$E$31</f>
        <v>2619.9692177510988</v>
      </c>
      <c r="AI42" s="18"/>
      <c r="AJ42" s="126">
        <v>5033</v>
      </c>
      <c r="AK42" s="204">
        <f>AJ42*'Factors &amp; Percentages'!$E$34</f>
        <v>10530.898510160056</v>
      </c>
      <c r="AL42" s="18"/>
      <c r="AM42" s="124">
        <v>20</v>
      </c>
      <c r="AN42" s="211">
        <v>20</v>
      </c>
      <c r="AO42" s="124">
        <v>35</v>
      </c>
      <c r="AP42" s="212">
        <v>34</v>
      </c>
      <c r="AQ42" s="135">
        <v>1469</v>
      </c>
      <c r="AR42" s="179">
        <f t="shared" si="3"/>
        <v>1469</v>
      </c>
      <c r="AS42" s="205">
        <f>AN42*'Factors &amp; Percentages'!$E$37+AP42*'Factors &amp; Percentages'!$E$38+AR42*'Factors &amp; Percentages'!$E$39</f>
        <v>3581.7589470815105</v>
      </c>
      <c r="AT42" s="18"/>
      <c r="AU42" s="203">
        <f t="shared" si="4"/>
        <v>20258.719826603923</v>
      </c>
      <c r="AV42" s="213">
        <f t="shared" si="5"/>
        <v>20258.719826603923</v>
      </c>
      <c r="AW42" s="196">
        <f>IF($BG42&gt;$AV42,$BG42*(1+'Factors &amp; Percentages'!$B$24),
IF($AU42&gt;$AV42,$AV42,
IF($AU42&gt;$BG42,$AU42,
$BG42*(1+'Factors &amp; Percentages'!$B$24))))</f>
        <v>20258.719826603923</v>
      </c>
      <c r="AX42" s="185">
        <f t="shared" si="6"/>
        <v>20258.719826603923</v>
      </c>
      <c r="AY42" s="127"/>
      <c r="AZ42" s="27"/>
      <c r="BA42" s="223">
        <v>18375.79602112194</v>
      </c>
      <c r="BB42" s="185">
        <v>19612</v>
      </c>
      <c r="BC42" s="204">
        <v>8223</v>
      </c>
      <c r="BD42" s="218">
        <v>7830.9999999999991</v>
      </c>
      <c r="BE42" s="224">
        <v>9769.6</v>
      </c>
      <c r="BF42" s="219"/>
      <c r="BG42" s="221">
        <v>8634</v>
      </c>
      <c r="BH42" s="226">
        <v>8634</v>
      </c>
      <c r="BI42" s="220">
        <v>8223</v>
      </c>
      <c r="BJ42" s="227">
        <v>7832</v>
      </c>
      <c r="BK42" s="221">
        <v>7640</v>
      </c>
      <c r="BL42" s="128">
        <v>6946</v>
      </c>
      <c r="BM42" s="128">
        <v>6615</v>
      </c>
    </row>
    <row r="43" spans="1:65" x14ac:dyDescent="0.3">
      <c r="A43" s="111" t="s">
        <v>333</v>
      </c>
      <c r="B43" s="111" t="s">
        <v>334</v>
      </c>
      <c r="C43" s="112" t="s">
        <v>75</v>
      </c>
      <c r="D43" s="113" t="s">
        <v>279</v>
      </c>
      <c r="E43" s="113" t="s">
        <v>314</v>
      </c>
      <c r="F43" s="111"/>
      <c r="G43" s="46">
        <f t="shared" si="7"/>
        <v>41232.723171336271</v>
      </c>
      <c r="H43" s="111"/>
      <c r="I43" s="114">
        <v>76050</v>
      </c>
      <c r="J43" s="47">
        <v>71705</v>
      </c>
      <c r="K43" s="47">
        <v>65017</v>
      </c>
      <c r="L43" s="47">
        <v>45276</v>
      </c>
      <c r="M43" s="47">
        <v>49294</v>
      </c>
      <c r="N43" s="114">
        <v>80073</v>
      </c>
      <c r="O43" s="47">
        <v>93573</v>
      </c>
      <c r="P43" s="47">
        <v>98153</v>
      </c>
      <c r="Q43" s="115">
        <v>90247</v>
      </c>
      <c r="R43" s="47">
        <v>106084</v>
      </c>
      <c r="S43" s="47"/>
      <c r="T43" s="114">
        <v>12177</v>
      </c>
      <c r="U43" s="47">
        <v>11061</v>
      </c>
      <c r="V43" s="47">
        <v>10229</v>
      </c>
      <c r="W43" s="47">
        <v>1156</v>
      </c>
      <c r="X43" s="114">
        <v>1764</v>
      </c>
      <c r="Y43" s="47">
        <v>11461</v>
      </c>
      <c r="Z43" s="47">
        <v>10789</v>
      </c>
      <c r="AA43" s="47">
        <v>3507</v>
      </c>
      <c r="AB43" s="47"/>
      <c r="AC43" s="16">
        <f t="shared" si="8"/>
        <v>76226.399999999994</v>
      </c>
      <c r="AD43" s="16">
        <f t="shared" si="9"/>
        <v>81290.7</v>
      </c>
      <c r="AE43" s="16">
        <f>SUM(AC43*'Factors &amp; Percentages'!$E$27+AD43*'Factors &amp; Percentages'!$E$28)</f>
        <v>12378.624984304701</v>
      </c>
      <c r="AF43" s="16"/>
      <c r="AG43" s="101">
        <v>0.5</v>
      </c>
      <c r="AH43" s="18">
        <f>AG43*'Factors &amp; Percentages'!$E$31</f>
        <v>6549.9230443777469</v>
      </c>
      <c r="AI43" s="18"/>
      <c r="AJ43" s="18">
        <v>4748</v>
      </c>
      <c r="AK43" s="18">
        <f>AJ43*'Factors &amp; Percentages'!$E$34</f>
        <v>9934.5730431631127</v>
      </c>
      <c r="AL43" s="18"/>
      <c r="AM43" s="30">
        <v>70</v>
      </c>
      <c r="AN43" s="30">
        <v>69</v>
      </c>
      <c r="AO43" s="30">
        <v>87</v>
      </c>
      <c r="AP43" s="116">
        <v>94</v>
      </c>
      <c r="AQ43" s="115">
        <v>7805</v>
      </c>
      <c r="AR43" s="115">
        <f t="shared" si="3"/>
        <v>7805</v>
      </c>
      <c r="AS43" s="18">
        <f>AN43*'Factors &amp; Percentages'!$E$37+AP43*'Factors &amp; Percentages'!$E$38+AR43*'Factors &amp; Percentages'!$E$39</f>
        <v>12369.602099490708</v>
      </c>
      <c r="AT43" s="18"/>
      <c r="AU43" s="18">
        <f t="shared" si="4"/>
        <v>41232.723171336271</v>
      </c>
      <c r="AV43" s="69">
        <f t="shared" si="5"/>
        <v>41232.723171336271</v>
      </c>
      <c r="AW43" s="46">
        <f>IF($BG43&gt;$AV43,$BG43*(1+'Factors &amp; Percentages'!$B$24),
IF($AU43&gt;$AV43,$AV43,
IF($AU43&gt;$BG43,$AU43,
$BG43*(1+'Factors &amp; Percentages'!$B$24))))</f>
        <v>41232.723171336271</v>
      </c>
      <c r="AX43" s="46">
        <f t="shared" si="6"/>
        <v>41232.723171336271</v>
      </c>
      <c r="AY43" s="69"/>
      <c r="AZ43" s="27"/>
      <c r="BA43" s="21">
        <v>38315.913451473571</v>
      </c>
      <c r="BB43" s="46">
        <v>35462</v>
      </c>
      <c r="BC43" s="119">
        <v>33600</v>
      </c>
      <c r="BD43" s="120">
        <v>45134.85</v>
      </c>
      <c r="BE43" s="120">
        <v>44033.999999999993</v>
      </c>
      <c r="BF43" s="69"/>
      <c r="BG43" s="73">
        <v>38316</v>
      </c>
      <c r="BH43" s="73">
        <v>35462</v>
      </c>
      <c r="BI43" s="117">
        <v>35100</v>
      </c>
      <c r="BJ43" s="118">
        <v>32000</v>
      </c>
      <c r="BK43" s="106">
        <v>44034</v>
      </c>
      <c r="BL43" s="106">
        <v>42960</v>
      </c>
      <c r="BM43" s="106">
        <v>41700</v>
      </c>
    </row>
    <row r="44" spans="1:65" x14ac:dyDescent="0.3">
      <c r="A44" s="121" t="s">
        <v>335</v>
      </c>
      <c r="B44" s="121" t="s">
        <v>336</v>
      </c>
      <c r="C44" s="174" t="s">
        <v>76</v>
      </c>
      <c r="D44" s="122" t="s">
        <v>279</v>
      </c>
      <c r="E44" s="173" t="s">
        <v>314</v>
      </c>
      <c r="F44" s="111"/>
      <c r="G44" s="185">
        <f t="shared" si="7"/>
        <v>38807.575843148574</v>
      </c>
      <c r="H44" s="186"/>
      <c r="I44" s="187">
        <v>126955</v>
      </c>
      <c r="J44" s="188">
        <v>103953</v>
      </c>
      <c r="K44" s="189">
        <v>97588</v>
      </c>
      <c r="L44" s="123">
        <v>71902</v>
      </c>
      <c r="M44" s="123">
        <v>71091</v>
      </c>
      <c r="N44" s="190">
        <v>90625</v>
      </c>
      <c r="O44" s="189">
        <v>74312</v>
      </c>
      <c r="P44" s="188">
        <v>63874</v>
      </c>
      <c r="Q44" s="208">
        <v>58860</v>
      </c>
      <c r="R44" s="123">
        <v>58622</v>
      </c>
      <c r="S44" s="188"/>
      <c r="T44" s="187">
        <v>209161</v>
      </c>
      <c r="U44" s="188">
        <v>287463</v>
      </c>
      <c r="V44" s="189">
        <v>273461</v>
      </c>
      <c r="W44" s="123">
        <v>291591</v>
      </c>
      <c r="X44" s="190">
        <v>5418</v>
      </c>
      <c r="Y44" s="189">
        <v>5535</v>
      </c>
      <c r="Z44" s="188">
        <v>53351</v>
      </c>
      <c r="AA44" s="123">
        <v>9038</v>
      </c>
      <c r="AB44" s="191"/>
      <c r="AC44" s="204">
        <f t="shared" si="8"/>
        <v>127496.8</v>
      </c>
      <c r="AD44" s="205">
        <f t="shared" si="9"/>
        <v>111541.1</v>
      </c>
      <c r="AE44" s="204">
        <f>SUM(AC44*'Factors &amp; Percentages'!$E$27+AD44*'Factors &amp; Percentages'!$E$28)</f>
        <v>19063.561601093967</v>
      </c>
      <c r="AF44" s="16"/>
      <c r="AG44" s="125">
        <v>0.5</v>
      </c>
      <c r="AH44" s="204">
        <f>AG44*'Factors &amp; Percentages'!$E$31</f>
        <v>6549.9230443777469</v>
      </c>
      <c r="AI44" s="18"/>
      <c r="AJ44" s="126">
        <v>898</v>
      </c>
      <c r="AK44" s="204">
        <f>AJ44*'Factors &amp; Percentages'!$E$34</f>
        <v>1878.9483135552809</v>
      </c>
      <c r="AL44" s="18"/>
      <c r="AM44" s="124">
        <v>68</v>
      </c>
      <c r="AN44" s="211">
        <v>70</v>
      </c>
      <c r="AO44" s="124">
        <v>97</v>
      </c>
      <c r="AP44" s="212">
        <v>107</v>
      </c>
      <c r="AQ44" s="135">
        <v>540</v>
      </c>
      <c r="AR44" s="179">
        <f t="shared" si="3"/>
        <v>540</v>
      </c>
      <c r="AS44" s="205">
        <f>AN44*'Factors &amp; Percentages'!$E$37+AP44*'Factors &amp; Percentages'!$E$38+AR44*'Factors &amp; Percentages'!$E$39</f>
        <v>11315.14288412158</v>
      </c>
      <c r="AT44" s="18"/>
      <c r="AU44" s="203">
        <f t="shared" si="4"/>
        <v>38807.575843148574</v>
      </c>
      <c r="AV44" s="213">
        <f t="shared" si="5"/>
        <v>38807.575843148574</v>
      </c>
      <c r="AW44" s="196">
        <f>IF($BG44&gt;$AV44,$BG44*(1+'Factors &amp; Percentages'!$B$24),
IF($AU44&gt;$AV44,$AV44,
IF($AU44&gt;$BG44,$AU44,
$BG44*(1+'Factors &amp; Percentages'!$B$24))))</f>
        <v>38807.575843148574</v>
      </c>
      <c r="AX44" s="185">
        <f t="shared" si="6"/>
        <v>38807.575843148574</v>
      </c>
      <c r="AY44" s="127"/>
      <c r="AZ44" s="27"/>
      <c r="BA44" s="223">
        <v>34728.75</v>
      </c>
      <c r="BB44" s="185">
        <v>33075</v>
      </c>
      <c r="BC44" s="204">
        <v>38379</v>
      </c>
      <c r="BD44" s="218">
        <v>34042.261327170301</v>
      </c>
      <c r="BE44" s="224">
        <v>28742.885507612562</v>
      </c>
      <c r="BF44" s="219"/>
      <c r="BG44" s="221">
        <v>34729</v>
      </c>
      <c r="BH44" s="226">
        <v>33076</v>
      </c>
      <c r="BI44" s="220">
        <v>31500</v>
      </c>
      <c r="BJ44" s="227">
        <v>30004</v>
      </c>
      <c r="BK44" s="221">
        <v>28792</v>
      </c>
      <c r="BL44" s="128">
        <v>17000</v>
      </c>
      <c r="BM44" s="128">
        <v>25920</v>
      </c>
    </row>
    <row r="45" spans="1:65" x14ac:dyDescent="0.3">
      <c r="A45" s="111" t="s">
        <v>337</v>
      </c>
      <c r="B45" s="111" t="s">
        <v>338</v>
      </c>
      <c r="C45" s="112" t="s">
        <v>270</v>
      </c>
      <c r="D45" s="113" t="s">
        <v>279</v>
      </c>
      <c r="E45" s="113" t="s">
        <v>314</v>
      </c>
      <c r="F45" s="111"/>
      <c r="G45" s="46">
        <f t="shared" si="7"/>
        <v>20175.350000000002</v>
      </c>
      <c r="H45" s="111"/>
      <c r="I45" s="114">
        <v>31039</v>
      </c>
      <c r="J45" s="47">
        <v>25376</v>
      </c>
      <c r="K45" s="47">
        <v>28505</v>
      </c>
      <c r="L45" s="47">
        <v>20952</v>
      </c>
      <c r="M45" s="47">
        <v>15048</v>
      </c>
      <c r="N45" s="114">
        <v>10703</v>
      </c>
      <c r="O45" s="47">
        <v>4665</v>
      </c>
      <c r="P45" s="47">
        <v>10076</v>
      </c>
      <c r="Q45" s="115">
        <v>4239</v>
      </c>
      <c r="R45" s="47">
        <v>6494</v>
      </c>
      <c r="S45" s="47"/>
      <c r="T45" s="114">
        <v>0</v>
      </c>
      <c r="U45" s="47">
        <v>11816</v>
      </c>
      <c r="V45" s="47">
        <v>0</v>
      </c>
      <c r="W45" s="47">
        <v>0</v>
      </c>
      <c r="X45" s="114">
        <v>0</v>
      </c>
      <c r="Y45" s="47">
        <v>3816</v>
      </c>
      <c r="Z45" s="47">
        <v>0</v>
      </c>
      <c r="AA45" s="47">
        <v>0</v>
      </c>
      <c r="AB45" s="47"/>
      <c r="AC45" s="16">
        <f t="shared" si="8"/>
        <v>31039</v>
      </c>
      <c r="AD45" s="16">
        <f t="shared" si="9"/>
        <v>10703</v>
      </c>
      <c r="AE45" s="16">
        <f>SUM(AC45*'Factors &amp; Percentages'!$E$27+AD45*'Factors &amp; Percentages'!$E$28)</f>
        <v>3535.7551793200055</v>
      </c>
      <c r="AF45" s="16"/>
      <c r="AG45" s="101">
        <v>1</v>
      </c>
      <c r="AH45" s="18">
        <f>AG45*'Factors &amp; Percentages'!$E$31</f>
        <v>13099.846088755494</v>
      </c>
      <c r="AI45" s="18"/>
      <c r="AJ45" s="18">
        <v>924</v>
      </c>
      <c r="AK45" s="18">
        <f>AJ45*'Factors &amp; Percentages'!$E$34</f>
        <v>1933.3499351058795</v>
      </c>
      <c r="AL45" s="18"/>
      <c r="AM45" s="30">
        <v>24</v>
      </c>
      <c r="AN45" s="30">
        <v>23</v>
      </c>
      <c r="AO45" s="30">
        <v>33</v>
      </c>
      <c r="AP45" s="116">
        <v>0</v>
      </c>
      <c r="AQ45" s="115">
        <v>18803</v>
      </c>
      <c r="AR45" s="115">
        <f t="shared" si="3"/>
        <v>18803</v>
      </c>
      <c r="AS45" s="18">
        <f>AN45*'Factors &amp; Percentages'!$E$37+AP45*'Factors &amp; Percentages'!$E$38+AR45*'Factors &amp; Percentages'!$E$39</f>
        <v>6696.8005829516151</v>
      </c>
      <c r="AT45" s="18"/>
      <c r="AU45" s="18">
        <f t="shared" si="4"/>
        <v>25265.751786132994</v>
      </c>
      <c r="AV45" s="69">
        <f t="shared" si="5"/>
        <v>20175.350000000002</v>
      </c>
      <c r="AW45" s="46">
        <f>IF($BG45&gt;$AV45,$BG45*(1+'Factors &amp; Percentages'!$B$24),
IF($AU45&gt;$AV45,$AV45,
IF($AU45&gt;$BG45,$AU45,
$BG45*(1+'Factors &amp; Percentages'!$B$24))))</f>
        <v>20175.350000000002</v>
      </c>
      <c r="AX45" s="46">
        <f t="shared" si="6"/>
        <v>20175.350000000002</v>
      </c>
      <c r="AY45" s="69"/>
      <c r="AZ45" s="27"/>
      <c r="BA45" s="21">
        <v>16494.400000000001</v>
      </c>
      <c r="BB45" s="46">
        <v>14299.95</v>
      </c>
      <c r="BC45" s="119">
        <v>13619</v>
      </c>
      <c r="BD45" s="120">
        <v>14920.924999999999</v>
      </c>
      <c r="BE45" s="120">
        <v>14557.05</v>
      </c>
      <c r="BF45" s="69"/>
      <c r="BG45" s="73">
        <v>14615</v>
      </c>
      <c r="BH45" s="73">
        <v>14300</v>
      </c>
      <c r="BI45" s="117">
        <v>13619</v>
      </c>
      <c r="BJ45" s="118">
        <v>12750</v>
      </c>
      <c r="BK45" s="106">
        <v>14557</v>
      </c>
      <c r="BL45" s="106">
        <v>14202</v>
      </c>
      <c r="BM45" s="106">
        <v>14202</v>
      </c>
    </row>
    <row r="46" spans="1:65" x14ac:dyDescent="0.3">
      <c r="A46" s="121" t="s">
        <v>339</v>
      </c>
      <c r="B46" s="121" t="s">
        <v>340</v>
      </c>
      <c r="C46" s="174" t="s">
        <v>77</v>
      </c>
      <c r="D46" s="122" t="s">
        <v>279</v>
      </c>
      <c r="E46" s="173" t="s">
        <v>314</v>
      </c>
      <c r="F46" s="111"/>
      <c r="G46" s="185">
        <f t="shared" si="7"/>
        <v>18900</v>
      </c>
      <c r="H46" s="186"/>
      <c r="I46" s="187">
        <v>23844</v>
      </c>
      <c r="J46" s="188">
        <v>22653</v>
      </c>
      <c r="K46" s="189">
        <v>30324</v>
      </c>
      <c r="L46" s="123">
        <v>20824</v>
      </c>
      <c r="M46" s="123">
        <v>19606</v>
      </c>
      <c r="N46" s="190">
        <v>21954</v>
      </c>
      <c r="O46" s="189">
        <v>18012</v>
      </c>
      <c r="P46" s="188">
        <v>21451</v>
      </c>
      <c r="Q46" s="208">
        <v>12206</v>
      </c>
      <c r="R46" s="123">
        <v>11912</v>
      </c>
      <c r="S46" s="188"/>
      <c r="T46" s="187">
        <v>1226</v>
      </c>
      <c r="U46" s="188">
        <v>1237</v>
      </c>
      <c r="V46" s="189">
        <v>4476</v>
      </c>
      <c r="W46" s="123">
        <v>2476</v>
      </c>
      <c r="X46" s="190">
        <v>1522</v>
      </c>
      <c r="Y46" s="189">
        <v>391</v>
      </c>
      <c r="Z46" s="188">
        <v>21206</v>
      </c>
      <c r="AA46" s="123">
        <v>413</v>
      </c>
      <c r="AB46" s="191"/>
      <c r="AC46" s="204">
        <f t="shared" si="8"/>
        <v>23996.2</v>
      </c>
      <c r="AD46" s="205">
        <f t="shared" si="9"/>
        <v>22076.6</v>
      </c>
      <c r="AE46" s="204">
        <f>SUM(AC46*'Factors &amp; Percentages'!$E$27+AD46*'Factors &amp; Percentages'!$E$28)</f>
        <v>3660.7439343651149</v>
      </c>
      <c r="AF46" s="16"/>
      <c r="AG46" s="125">
        <v>0.2</v>
      </c>
      <c r="AH46" s="204">
        <f>AG46*'Factors &amp; Percentages'!$E$31</f>
        <v>2619.9692177510988</v>
      </c>
      <c r="AI46" s="18"/>
      <c r="AJ46" s="126">
        <v>317</v>
      </c>
      <c r="AK46" s="204">
        <f>AJ46*'Factors &amp; Percentages'!$E$34</f>
        <v>663.28130890537204</v>
      </c>
      <c r="AL46" s="18"/>
      <c r="AM46" s="124">
        <v>18</v>
      </c>
      <c r="AN46" s="211">
        <v>20</v>
      </c>
      <c r="AO46" s="124">
        <v>23</v>
      </c>
      <c r="AP46" s="212">
        <v>29</v>
      </c>
      <c r="AQ46" s="135">
        <v>6488</v>
      </c>
      <c r="AR46" s="179">
        <f t="shared" si="3"/>
        <v>6488</v>
      </c>
      <c r="AS46" s="205">
        <f>AN46*'Factors &amp; Percentages'!$E$37+AP46*'Factors &amp; Percentages'!$E$38+AR46*'Factors &amp; Percentages'!$E$39</f>
        <v>4489.3991929336134</v>
      </c>
      <c r="AT46" s="18"/>
      <c r="AU46" s="203">
        <f t="shared" si="4"/>
        <v>11433.3936539552</v>
      </c>
      <c r="AV46" s="213">
        <f t="shared" si="5"/>
        <v>11433.3936539552</v>
      </c>
      <c r="AW46" s="196">
        <f>IF($BG46&gt;$AV46,$BG46*(1+'Factors &amp; Percentages'!$B$24),
IF($AU46&gt;$AV46,$AV46,
IF($AU46&gt;$BG46,$AU46,
$BG46*(1+'Factors &amp; Percentages'!$B$24))))</f>
        <v>18900</v>
      </c>
      <c r="AX46" s="185">
        <f t="shared" si="6"/>
        <v>18900</v>
      </c>
      <c r="AY46" s="127"/>
      <c r="AZ46" s="27"/>
      <c r="BA46" s="223">
        <v>18900</v>
      </c>
      <c r="BB46" s="185">
        <v>18296.25</v>
      </c>
      <c r="BC46" s="204">
        <v>18296</v>
      </c>
      <c r="BD46" s="218">
        <v>17425</v>
      </c>
      <c r="BE46" s="224">
        <v>20729.599999999999</v>
      </c>
      <c r="BF46" s="219"/>
      <c r="BG46" s="221">
        <v>18000</v>
      </c>
      <c r="BH46" s="226">
        <v>18000</v>
      </c>
      <c r="BI46" s="220">
        <v>17425</v>
      </c>
      <c r="BJ46" s="227">
        <v>17425</v>
      </c>
      <c r="BK46" s="221">
        <v>17000</v>
      </c>
      <c r="BL46" s="128">
        <v>20224</v>
      </c>
      <c r="BM46" s="128">
        <v>19635</v>
      </c>
    </row>
    <row r="47" spans="1:65" x14ac:dyDescent="0.3">
      <c r="A47" s="111" t="s">
        <v>341</v>
      </c>
      <c r="B47" s="111" t="s">
        <v>342</v>
      </c>
      <c r="C47" s="112" t="s">
        <v>78</v>
      </c>
      <c r="D47" s="113" t="s">
        <v>279</v>
      </c>
      <c r="E47" s="113" t="s">
        <v>314</v>
      </c>
      <c r="F47" s="111"/>
      <c r="G47" s="46">
        <f t="shared" si="7"/>
        <v>10139.509825163121</v>
      </c>
      <c r="H47" s="111"/>
      <c r="I47" s="114">
        <v>38044</v>
      </c>
      <c r="J47" s="47">
        <v>41541</v>
      </c>
      <c r="K47" s="47">
        <v>43302</v>
      </c>
      <c r="L47" s="47">
        <v>31724</v>
      </c>
      <c r="M47" s="47">
        <v>28710</v>
      </c>
      <c r="N47" s="114">
        <v>2415</v>
      </c>
      <c r="O47" s="47">
        <v>13598</v>
      </c>
      <c r="P47" s="47">
        <v>5743</v>
      </c>
      <c r="Q47" s="115">
        <v>5248</v>
      </c>
      <c r="R47" s="47">
        <v>9404</v>
      </c>
      <c r="S47" s="47"/>
      <c r="T47" s="114">
        <v>1224</v>
      </c>
      <c r="U47" s="47">
        <v>797</v>
      </c>
      <c r="V47" s="47">
        <v>323</v>
      </c>
      <c r="W47" s="47">
        <v>322</v>
      </c>
      <c r="X47" s="114">
        <v>2703</v>
      </c>
      <c r="Y47" s="47">
        <v>1365</v>
      </c>
      <c r="Z47" s="47">
        <v>351</v>
      </c>
      <c r="AA47" s="47">
        <v>370</v>
      </c>
      <c r="AB47" s="47"/>
      <c r="AC47" s="16">
        <f t="shared" si="8"/>
        <v>38314.300000000003</v>
      </c>
      <c r="AD47" s="16">
        <f t="shared" si="9"/>
        <v>2537.4</v>
      </c>
      <c r="AE47" s="16">
        <f>SUM(AC47*'Factors &amp; Percentages'!$E$27+AD47*'Factors &amp; Percentages'!$E$28)</f>
        <v>3647.385673229167</v>
      </c>
      <c r="AF47" s="16"/>
      <c r="AG47" s="101">
        <v>0.1</v>
      </c>
      <c r="AH47" s="18">
        <f>AG47*'Factors &amp; Percentages'!$E$31</f>
        <v>1309.9846088755494</v>
      </c>
      <c r="AI47" s="18"/>
      <c r="AJ47" s="18">
        <v>507</v>
      </c>
      <c r="AK47" s="18">
        <f>AJ47*'Factors &amp; Percentages'!$E$34</f>
        <v>1060.8316202366675</v>
      </c>
      <c r="AL47" s="18"/>
      <c r="AM47" s="30">
        <v>21</v>
      </c>
      <c r="AN47" s="30">
        <v>23</v>
      </c>
      <c r="AO47" s="30">
        <v>27</v>
      </c>
      <c r="AP47" s="116">
        <v>27</v>
      </c>
      <c r="AQ47" s="115">
        <v>3090</v>
      </c>
      <c r="AR47" s="115">
        <f t="shared" si="3"/>
        <v>3090</v>
      </c>
      <c r="AS47" s="18">
        <f>AN47*'Factors &amp; Percentages'!$E$37+AP47*'Factors &amp; Percentages'!$E$38+AR47*'Factors &amp; Percentages'!$E$39</f>
        <v>4121.3079228217357</v>
      </c>
      <c r="AT47" s="18"/>
      <c r="AU47" s="18">
        <f t="shared" si="4"/>
        <v>10139.509825163121</v>
      </c>
      <c r="AV47" s="69">
        <f t="shared" si="5"/>
        <v>10139.509825163121</v>
      </c>
      <c r="AW47" s="46">
        <f>IF($BG47&gt;$AV47,$BG47*(1+'Factors &amp; Percentages'!$B$24),
IF($AU47&gt;$AV47,$AV47,
IF($AU47&gt;$BG47,$AU47,
$BG47*(1+'Factors &amp; Percentages'!$B$24))))</f>
        <v>10139.509825163121</v>
      </c>
      <c r="AX47" s="46">
        <f t="shared" si="6"/>
        <v>10139.509825163121</v>
      </c>
      <c r="AY47" s="69"/>
      <c r="AZ47" s="27"/>
      <c r="BA47" s="21">
        <v>10083.913140723067</v>
      </c>
      <c r="BB47" s="46">
        <v>9132</v>
      </c>
      <c r="BC47" s="119">
        <v>11139</v>
      </c>
      <c r="BD47" s="120">
        <v>9963.0099817776663</v>
      </c>
      <c r="BE47" s="120">
        <v>9492.5249999999996</v>
      </c>
      <c r="BF47" s="69"/>
      <c r="BG47" s="73">
        <v>9000</v>
      </c>
      <c r="BH47" s="73">
        <v>5000</v>
      </c>
      <c r="BI47" s="117">
        <v>9000</v>
      </c>
      <c r="BJ47" s="118">
        <v>9750</v>
      </c>
      <c r="BK47" s="106">
        <v>9300</v>
      </c>
      <c r="BL47" s="106">
        <v>9261</v>
      </c>
      <c r="BM47" s="106">
        <v>8820</v>
      </c>
    </row>
    <row r="48" spans="1:65" x14ac:dyDescent="0.3">
      <c r="A48" s="121" t="s">
        <v>343</v>
      </c>
      <c r="B48" s="121" t="s">
        <v>344</v>
      </c>
      <c r="C48" s="174" t="s">
        <v>79</v>
      </c>
      <c r="D48" s="122" t="s">
        <v>279</v>
      </c>
      <c r="E48" s="173" t="s">
        <v>314</v>
      </c>
      <c r="F48" s="111"/>
      <c r="G48" s="185">
        <f t="shared" si="7"/>
        <v>24834.668608274416</v>
      </c>
      <c r="H48" s="186"/>
      <c r="I48" s="187">
        <v>43890</v>
      </c>
      <c r="J48" s="188">
        <v>31609</v>
      </c>
      <c r="K48" s="189">
        <v>36222</v>
      </c>
      <c r="L48" s="123">
        <v>32973</v>
      </c>
      <c r="M48" s="123">
        <v>35409</v>
      </c>
      <c r="N48" s="190">
        <v>37811</v>
      </c>
      <c r="O48" s="189">
        <v>19433</v>
      </c>
      <c r="P48" s="188">
        <v>27743</v>
      </c>
      <c r="Q48" s="208">
        <v>26497</v>
      </c>
      <c r="R48" s="123">
        <v>26074</v>
      </c>
      <c r="S48" s="188"/>
      <c r="T48" s="187">
        <v>18233</v>
      </c>
      <c r="U48" s="188">
        <v>7376</v>
      </c>
      <c r="V48" s="189">
        <v>7376</v>
      </c>
      <c r="W48" s="123">
        <v>8475</v>
      </c>
      <c r="X48" s="190">
        <v>0</v>
      </c>
      <c r="Y48" s="189">
        <v>1200</v>
      </c>
      <c r="Z48" s="188">
        <v>2108</v>
      </c>
      <c r="AA48" s="123">
        <v>0</v>
      </c>
      <c r="AB48" s="191"/>
      <c r="AC48" s="204">
        <f t="shared" si="8"/>
        <v>43890</v>
      </c>
      <c r="AD48" s="205">
        <f t="shared" si="9"/>
        <v>39634.300000000003</v>
      </c>
      <c r="AE48" s="204">
        <f>SUM(AC48*'Factors &amp; Percentages'!$E$27+AD48*'Factors &amp; Percentages'!$E$28)</f>
        <v>6645.616666196056</v>
      </c>
      <c r="AF48" s="16"/>
      <c r="AG48" s="125">
        <v>0.5</v>
      </c>
      <c r="AH48" s="204">
        <f>AG48*'Factors &amp; Percentages'!$E$31</f>
        <v>6549.9230443777469</v>
      </c>
      <c r="AI48" s="18"/>
      <c r="AJ48" s="126">
        <v>1730</v>
      </c>
      <c r="AK48" s="204">
        <f>AJ48*'Factors &amp; Percentages'!$E$34</f>
        <v>3619.8002031744277</v>
      </c>
      <c r="AL48" s="18"/>
      <c r="AM48" s="130">
        <v>33</v>
      </c>
      <c r="AN48" s="211">
        <v>33</v>
      </c>
      <c r="AO48" s="124">
        <v>63</v>
      </c>
      <c r="AP48" s="212">
        <v>59</v>
      </c>
      <c r="AQ48" s="135">
        <v>12421</v>
      </c>
      <c r="AR48" s="179">
        <f t="shared" si="3"/>
        <v>12421</v>
      </c>
      <c r="AS48" s="205">
        <f>AN48*'Factors &amp; Percentages'!$E$37+AP48*'Factors &amp; Percentages'!$E$38+AR48*'Factors &amp; Percentages'!$E$39</f>
        <v>8019.3286945261871</v>
      </c>
      <c r="AT48" s="18"/>
      <c r="AU48" s="203">
        <f t="shared" si="4"/>
        <v>24834.668608274416</v>
      </c>
      <c r="AV48" s="213">
        <f t="shared" si="5"/>
        <v>24834.668608274416</v>
      </c>
      <c r="AW48" s="196">
        <f>IF($BG48&gt;$AV48,$BG48*(1+'Factors &amp; Percentages'!$B$24),
IF($AU48&gt;$AV48,$AV48,
IF($AU48&gt;$BG48,$AU48,
$BG48*(1+'Factors &amp; Percentages'!$B$24))))</f>
        <v>24834.668608274416</v>
      </c>
      <c r="AX48" s="185">
        <f t="shared" si="6"/>
        <v>24834.668608274416</v>
      </c>
      <c r="AY48" s="127"/>
      <c r="AZ48" s="27"/>
      <c r="BA48" s="223">
        <v>20545.850000000002</v>
      </c>
      <c r="BB48" s="185">
        <v>23544.3</v>
      </c>
      <c r="BC48" s="204">
        <v>21432</v>
      </c>
      <c r="BD48" s="218">
        <v>23015.850000000002</v>
      </c>
      <c r="BE48" s="224">
        <v>32147.993221983328</v>
      </c>
      <c r="BF48" s="219"/>
      <c r="BG48" s="221">
        <v>20051</v>
      </c>
      <c r="BH48" s="226">
        <v>20051</v>
      </c>
      <c r="BI48" s="220">
        <v>19467</v>
      </c>
      <c r="BJ48" s="227">
        <v>18540</v>
      </c>
      <c r="BK48" s="221">
        <v>18000</v>
      </c>
      <c r="BL48" s="128">
        <v>21034</v>
      </c>
      <c r="BM48" s="128">
        <v>28698</v>
      </c>
    </row>
    <row r="49" spans="1:65" x14ac:dyDescent="0.3">
      <c r="A49" s="111" t="s">
        <v>345</v>
      </c>
      <c r="B49" s="111" t="s">
        <v>346</v>
      </c>
      <c r="C49" s="112" t="s">
        <v>80</v>
      </c>
      <c r="D49" s="113" t="s">
        <v>279</v>
      </c>
      <c r="E49" s="113" t="s">
        <v>314</v>
      </c>
      <c r="F49" s="111"/>
      <c r="G49" s="46">
        <f t="shared" si="7"/>
        <v>19028.378960678376</v>
      </c>
      <c r="H49" s="111"/>
      <c r="I49" s="114">
        <v>31702</v>
      </c>
      <c r="J49" s="47">
        <v>36070</v>
      </c>
      <c r="K49" s="47">
        <v>32600</v>
      </c>
      <c r="L49" s="47">
        <v>26809</v>
      </c>
      <c r="M49" s="47">
        <v>25282</v>
      </c>
      <c r="N49" s="114">
        <v>18276</v>
      </c>
      <c r="O49" s="47">
        <v>15754</v>
      </c>
      <c r="P49" s="47">
        <v>10554</v>
      </c>
      <c r="Q49" s="115">
        <v>4862</v>
      </c>
      <c r="R49" s="47">
        <v>6986</v>
      </c>
      <c r="S49" s="47"/>
      <c r="T49" s="114">
        <v>13884</v>
      </c>
      <c r="U49" s="47">
        <v>3043</v>
      </c>
      <c r="V49" s="47">
        <v>5787</v>
      </c>
      <c r="W49" s="47">
        <v>12740</v>
      </c>
      <c r="X49" s="114">
        <v>9030</v>
      </c>
      <c r="Y49" s="47">
        <v>3748</v>
      </c>
      <c r="Z49" s="47">
        <v>2435</v>
      </c>
      <c r="AA49" s="47">
        <v>12018</v>
      </c>
      <c r="AB49" s="47"/>
      <c r="AC49" s="16">
        <f t="shared" si="8"/>
        <v>32605</v>
      </c>
      <c r="AD49" s="16">
        <f t="shared" si="9"/>
        <v>19664.400000000001</v>
      </c>
      <c r="AE49" s="16">
        <f>SUM(AC49*'Factors &amp; Percentages'!$E$27+AD49*'Factors &amp; Percentages'!$E$28)</f>
        <v>4279.9119883057756</v>
      </c>
      <c r="AF49" s="16"/>
      <c r="AG49" s="101">
        <v>0.5</v>
      </c>
      <c r="AH49" s="18">
        <f>AG49*'Factors &amp; Percentages'!$E$31</f>
        <v>6549.9230443777469</v>
      </c>
      <c r="AI49" s="18"/>
      <c r="AJ49" s="18">
        <v>1049</v>
      </c>
      <c r="AK49" s="18">
        <f>AJ49*'Factors &amp; Percentages'!$E$34</f>
        <v>2194.8961925606791</v>
      </c>
      <c r="AL49" s="18"/>
      <c r="AM49" s="30">
        <v>26</v>
      </c>
      <c r="AN49" s="30">
        <v>23</v>
      </c>
      <c r="AO49" s="30">
        <v>72</v>
      </c>
      <c r="AP49" s="116">
        <v>68</v>
      </c>
      <c r="AQ49" s="115">
        <v>7600</v>
      </c>
      <c r="AR49" s="115">
        <f t="shared" si="3"/>
        <v>7600</v>
      </c>
      <c r="AS49" s="18">
        <f>AN49*'Factors &amp; Percentages'!$E$37+AP49*'Factors &amp; Percentages'!$E$38+AR49*'Factors &amp; Percentages'!$E$39</f>
        <v>6003.647735434175</v>
      </c>
      <c r="AT49" s="18"/>
      <c r="AU49" s="18">
        <f t="shared" si="4"/>
        <v>19028.378960678376</v>
      </c>
      <c r="AV49" s="69">
        <f t="shared" si="5"/>
        <v>19028.378960678376</v>
      </c>
      <c r="AW49" s="46">
        <f>IF($BG49&gt;$AV49,$BG49*(1+'Factors &amp; Percentages'!$B$24),
IF($AU49&gt;$AV49,$AV49,
IF($AU49&gt;$BG49,$AU49,
$BG49*(1+'Factors &amp; Percentages'!$B$24))))</f>
        <v>19028.378960678376</v>
      </c>
      <c r="AX49" s="46">
        <f t="shared" si="6"/>
        <v>19028.378960678376</v>
      </c>
      <c r="AY49" s="69"/>
      <c r="AZ49" s="27"/>
      <c r="BA49" s="21">
        <v>17872.311569319063</v>
      </c>
      <c r="BB49" s="46">
        <v>16094</v>
      </c>
      <c r="BC49" s="119">
        <v>17426</v>
      </c>
      <c r="BD49" s="120">
        <v>16433.3</v>
      </c>
      <c r="BE49" s="120">
        <v>18863.462530808109</v>
      </c>
      <c r="BF49" s="69"/>
      <c r="BG49" s="73">
        <v>12000</v>
      </c>
      <c r="BH49" s="73">
        <v>10000</v>
      </c>
      <c r="BI49" s="117">
        <v>12750</v>
      </c>
      <c r="BJ49" s="118">
        <v>12000</v>
      </c>
      <c r="BK49" s="106">
        <v>14183</v>
      </c>
      <c r="BL49" s="106">
        <v>14183</v>
      </c>
      <c r="BM49" s="106">
        <v>13770</v>
      </c>
    </row>
    <row r="50" spans="1:65" x14ac:dyDescent="0.3">
      <c r="A50" s="121" t="s">
        <v>347</v>
      </c>
      <c r="B50" s="121" t="s">
        <v>347</v>
      </c>
      <c r="C50" s="174" t="s">
        <v>81</v>
      </c>
      <c r="D50" s="122" t="s">
        <v>279</v>
      </c>
      <c r="E50" s="173" t="s">
        <v>314</v>
      </c>
      <c r="F50" s="111"/>
      <c r="G50" s="185">
        <f t="shared" si="7"/>
        <v>4285.45</v>
      </c>
      <c r="H50" s="186"/>
      <c r="I50" s="187">
        <v>4773</v>
      </c>
      <c r="J50" s="188">
        <v>4773</v>
      </c>
      <c r="K50" s="189">
        <v>2019</v>
      </c>
      <c r="L50" s="123">
        <v>2987</v>
      </c>
      <c r="M50" s="123">
        <v>6593</v>
      </c>
      <c r="N50" s="190">
        <v>5347</v>
      </c>
      <c r="O50" s="189">
        <v>5347</v>
      </c>
      <c r="P50" s="188">
        <v>3620</v>
      </c>
      <c r="Q50" s="208">
        <v>0</v>
      </c>
      <c r="R50" s="123">
        <v>0</v>
      </c>
      <c r="S50" s="188"/>
      <c r="T50" s="187">
        <v>0</v>
      </c>
      <c r="U50" s="188">
        <v>0</v>
      </c>
      <c r="V50" s="189">
        <v>0</v>
      </c>
      <c r="W50" s="123">
        <v>0</v>
      </c>
      <c r="X50" s="190">
        <v>0</v>
      </c>
      <c r="Y50" s="189">
        <v>0</v>
      </c>
      <c r="Z50" s="188">
        <v>0</v>
      </c>
      <c r="AA50" s="123">
        <v>0</v>
      </c>
      <c r="AB50" s="191"/>
      <c r="AC50" s="204">
        <f t="shared" si="8"/>
        <v>4773</v>
      </c>
      <c r="AD50" s="205">
        <f t="shared" si="9"/>
        <v>5347</v>
      </c>
      <c r="AE50" s="204">
        <f>SUM(AC50*'Factors &amp; Percentages'!$E$27+AD50*'Factors &amp; Percentages'!$E$28)</f>
        <v>792.35989524021227</v>
      </c>
      <c r="AF50" s="16"/>
      <c r="AG50" s="125">
        <v>0.1</v>
      </c>
      <c r="AH50" s="204">
        <f>AG50*'Factors &amp; Percentages'!$E$31</f>
        <v>1309.9846088755494</v>
      </c>
      <c r="AI50" s="18"/>
      <c r="AJ50" s="126">
        <v>8282</v>
      </c>
      <c r="AK50" s="204">
        <f>AJ50*'Factors &amp; Percentages'!$E$34</f>
        <v>17329.008833925211</v>
      </c>
      <c r="AL50" s="18"/>
      <c r="AM50" s="129">
        <v>5</v>
      </c>
      <c r="AN50" s="211">
        <v>8</v>
      </c>
      <c r="AO50" s="124">
        <v>17</v>
      </c>
      <c r="AP50" s="212">
        <v>17</v>
      </c>
      <c r="AQ50" s="135">
        <v>32</v>
      </c>
      <c r="AR50" s="179">
        <f t="shared" si="3"/>
        <v>32</v>
      </c>
      <c r="AS50" s="205">
        <f>AN50*'Factors &amp; Percentages'!$E$37+AP50*'Factors &amp; Percentages'!$E$38+AR50*'Factors &amp; Percentages'!$E$39</f>
        <v>1398.9750497914406</v>
      </c>
      <c r="AT50" s="18"/>
      <c r="AU50" s="203">
        <f t="shared" si="4"/>
        <v>20830.328387832411</v>
      </c>
      <c r="AV50" s="213">
        <f>+BA50</f>
        <v>4285.45</v>
      </c>
      <c r="AW50" s="196">
        <f>IF($BG50&gt;$AV50,$BG50*(1+'Factors &amp; Percentages'!$B$24),
IF($AU50&gt;$AV50,$AV50,
IF($AU50&gt;$BG50,$AU50,
$BG50*(1+'Factors &amp; Percentages'!$B$24))))</f>
        <v>4285.45</v>
      </c>
      <c r="AX50" s="185">
        <f t="shared" si="6"/>
        <v>4285.45</v>
      </c>
      <c r="AY50" s="127"/>
      <c r="AZ50" s="27"/>
      <c r="BA50" s="223">
        <v>4285.45</v>
      </c>
      <c r="BB50" s="185">
        <v>4285.45</v>
      </c>
      <c r="BC50" s="204">
        <v>4285</v>
      </c>
      <c r="BD50" s="218">
        <v>4285.45</v>
      </c>
      <c r="BE50" s="224">
        <v>4355.6749999999993</v>
      </c>
      <c r="BF50" s="219"/>
      <c r="BG50" s="221">
        <v>1000</v>
      </c>
      <c r="BH50" s="226">
        <v>1000</v>
      </c>
      <c r="BI50" s="220">
        <v>1000</v>
      </c>
      <c r="BJ50" s="227">
        <v>1000</v>
      </c>
      <c r="BK50" s="221">
        <v>1000</v>
      </c>
      <c r="BL50" s="128">
        <v>2809</v>
      </c>
      <c r="BM50" s="128">
        <v>2809</v>
      </c>
    </row>
    <row r="51" spans="1:65" x14ac:dyDescent="0.3">
      <c r="A51" s="111" t="s">
        <v>348</v>
      </c>
      <c r="B51" s="111" t="s">
        <v>349</v>
      </c>
      <c r="C51" s="112" t="s">
        <v>138</v>
      </c>
      <c r="D51" s="113" t="s">
        <v>302</v>
      </c>
      <c r="E51" s="113" t="s">
        <v>316</v>
      </c>
      <c r="F51" s="111"/>
      <c r="G51" s="46">
        <f t="shared" si="7"/>
        <v>34885.200000000004</v>
      </c>
      <c r="H51" s="111"/>
      <c r="I51" s="114">
        <v>70304</v>
      </c>
      <c r="J51" s="47">
        <v>57047</v>
      </c>
      <c r="K51" s="47">
        <v>65369</v>
      </c>
      <c r="L51" s="47">
        <v>41758</v>
      </c>
      <c r="M51" s="47">
        <v>42701</v>
      </c>
      <c r="N51" s="114">
        <v>28958</v>
      </c>
      <c r="O51" s="47">
        <v>34877</v>
      </c>
      <c r="P51" s="47">
        <v>32844</v>
      </c>
      <c r="Q51" s="115">
        <v>19462</v>
      </c>
      <c r="R51" s="47">
        <v>19012</v>
      </c>
      <c r="S51" s="47"/>
      <c r="T51" s="114">
        <v>0</v>
      </c>
      <c r="U51" s="47">
        <v>0</v>
      </c>
      <c r="V51" s="47">
        <v>0</v>
      </c>
      <c r="W51" s="47">
        <v>0</v>
      </c>
      <c r="X51" s="114">
        <v>0</v>
      </c>
      <c r="Y51" s="47">
        <v>0</v>
      </c>
      <c r="Z51" s="47">
        <v>368</v>
      </c>
      <c r="AA51" s="47">
        <v>0</v>
      </c>
      <c r="AB51" s="47"/>
      <c r="AC51" s="16">
        <f t="shared" si="8"/>
        <v>70304</v>
      </c>
      <c r="AD51" s="16">
        <f t="shared" si="9"/>
        <v>28958</v>
      </c>
      <c r="AE51" s="16">
        <f>SUM(AC51*'Factors &amp; Percentages'!$E$27+AD51*'Factors &amp; Percentages'!$E$28)</f>
        <v>8325.357285991402</v>
      </c>
      <c r="AF51" s="16"/>
      <c r="AG51" s="101">
        <v>1</v>
      </c>
      <c r="AH51" s="18">
        <f>AG51*'Factors &amp; Percentages'!$E$31</f>
        <v>13099.846088755494</v>
      </c>
      <c r="AI51" s="18"/>
      <c r="AJ51" s="18">
        <v>2230</v>
      </c>
      <c r="AK51" s="18">
        <f>AJ51*'Factors &amp; Percentages'!$E$34</f>
        <v>4665.9852329936266</v>
      </c>
      <c r="AL51" s="18"/>
      <c r="AM51" s="30">
        <v>25</v>
      </c>
      <c r="AN51" s="30">
        <v>23</v>
      </c>
      <c r="AO51" s="30">
        <v>80</v>
      </c>
      <c r="AP51" s="116">
        <v>79</v>
      </c>
      <c r="AQ51" s="115">
        <v>9555</v>
      </c>
      <c r="AR51" s="115">
        <f t="shared" si="3"/>
        <v>9555</v>
      </c>
      <c r="AS51" s="18">
        <f>AN51*'Factors &amp; Percentages'!$E$37+AP51*'Factors &amp; Percentages'!$E$38+AR51*'Factors &amp; Percentages'!$E$39</f>
        <v>6660.7952799526502</v>
      </c>
      <c r="AT51" s="18"/>
      <c r="AU51" s="18">
        <f t="shared" si="4"/>
        <v>32751.983887693172</v>
      </c>
      <c r="AV51" s="69">
        <f t="shared" ref="AV51:AV82" si="10">IF($N51&gt;($J51+$K51+$I51)/3,$AU51,MIN(AU51,$I51*0.65))</f>
        <v>32751.983887693172</v>
      </c>
      <c r="AW51" s="46">
        <f>IF($BG51&gt;$AV51,$BG51*(1+'Factors &amp; Percentages'!$B$24),
IF($AU51&gt;$AV51,$AV51,
IF($AU51&gt;$BG51,$AU51,
$BG51*(1+'Factors &amp; Percentages'!$B$24))))</f>
        <v>34885.200000000004</v>
      </c>
      <c r="AX51" s="46">
        <f t="shared" si="6"/>
        <v>34885.200000000004</v>
      </c>
      <c r="AY51" s="69"/>
      <c r="AZ51" s="27"/>
      <c r="BA51" s="21">
        <v>33224.1</v>
      </c>
      <c r="BB51" s="46">
        <v>31641.75</v>
      </c>
      <c r="BC51" s="119">
        <v>30135</v>
      </c>
      <c r="BD51" s="120">
        <v>28699.999999999996</v>
      </c>
      <c r="BE51" s="120">
        <v>45228.124999999993</v>
      </c>
      <c r="BF51" s="69"/>
      <c r="BG51" s="73">
        <v>33224</v>
      </c>
      <c r="BH51" s="73">
        <v>31642</v>
      </c>
      <c r="BI51" s="117">
        <v>30135</v>
      </c>
      <c r="BJ51" s="118">
        <v>28700</v>
      </c>
      <c r="BK51" s="106">
        <v>28000</v>
      </c>
      <c r="BL51" s="106">
        <v>44125</v>
      </c>
      <c r="BM51" s="106">
        <v>43260</v>
      </c>
    </row>
    <row r="52" spans="1:65" x14ac:dyDescent="0.3">
      <c r="A52" s="121" t="s">
        <v>350</v>
      </c>
      <c r="B52" s="121" t="s">
        <v>351</v>
      </c>
      <c r="C52" s="174" t="s">
        <v>96</v>
      </c>
      <c r="D52" s="122" t="s">
        <v>295</v>
      </c>
      <c r="E52" s="173" t="s">
        <v>295</v>
      </c>
      <c r="F52" s="111"/>
      <c r="G52" s="185">
        <f t="shared" si="7"/>
        <v>43997.85</v>
      </c>
      <c r="H52" s="186"/>
      <c r="I52" s="187">
        <v>67689</v>
      </c>
      <c r="J52" s="188">
        <v>71219</v>
      </c>
      <c r="K52" s="189">
        <v>73524</v>
      </c>
      <c r="L52" s="123">
        <v>67848</v>
      </c>
      <c r="M52" s="123">
        <v>71628</v>
      </c>
      <c r="N52" s="190">
        <v>67686</v>
      </c>
      <c r="O52" s="189">
        <v>66370</v>
      </c>
      <c r="P52" s="188">
        <v>66698</v>
      </c>
      <c r="Q52" s="208">
        <v>64528</v>
      </c>
      <c r="R52" s="123">
        <v>59468</v>
      </c>
      <c r="S52" s="188"/>
      <c r="T52" s="187">
        <v>20122</v>
      </c>
      <c r="U52" s="188">
        <v>13213</v>
      </c>
      <c r="V52" s="189">
        <v>21921</v>
      </c>
      <c r="W52" s="123">
        <v>5203</v>
      </c>
      <c r="X52" s="190">
        <v>17517</v>
      </c>
      <c r="Y52" s="189">
        <v>7614</v>
      </c>
      <c r="Z52" s="188">
        <v>15272</v>
      </c>
      <c r="AA52" s="123">
        <v>5203</v>
      </c>
      <c r="AB52" s="191"/>
      <c r="AC52" s="204">
        <f t="shared" si="8"/>
        <v>69440.7</v>
      </c>
      <c r="AD52" s="205">
        <f t="shared" si="9"/>
        <v>69698.2</v>
      </c>
      <c r="AE52" s="204">
        <f>SUM(AC52*'Factors &amp; Percentages'!$E$27+AD52*'Factors &amp; Percentages'!$E$28)</f>
        <v>10984.031630663812</v>
      </c>
      <c r="AF52" s="16"/>
      <c r="AG52" s="125">
        <v>0.5</v>
      </c>
      <c r="AH52" s="204">
        <f>AG52*'Factors &amp; Percentages'!$E$31</f>
        <v>6549.9230443777469</v>
      </c>
      <c r="AI52" s="18"/>
      <c r="AJ52" s="126">
        <v>9223</v>
      </c>
      <c r="AK52" s="204">
        <f>AJ52*'Factors &amp; Percentages'!$E$34</f>
        <v>19297.929060044942</v>
      </c>
      <c r="AL52" s="18"/>
      <c r="AM52" s="124">
        <v>51</v>
      </c>
      <c r="AN52" s="211">
        <v>55</v>
      </c>
      <c r="AO52" s="124">
        <v>130</v>
      </c>
      <c r="AP52" s="212">
        <v>133</v>
      </c>
      <c r="AQ52" s="135">
        <v>7221</v>
      </c>
      <c r="AR52" s="179">
        <f t="shared" si="3"/>
        <v>7221</v>
      </c>
      <c r="AS52" s="205">
        <f>AN52*'Factors &amp; Percentages'!$E$37+AP52*'Factors &amp; Percentages'!$E$38+AR52*'Factors &amp; Percentages'!$E$39</f>
        <v>11425.672223465446</v>
      </c>
      <c r="AT52" s="18"/>
      <c r="AU52" s="203">
        <f t="shared" si="4"/>
        <v>48257.555958551951</v>
      </c>
      <c r="AV52" s="213">
        <f t="shared" si="10"/>
        <v>43997.85</v>
      </c>
      <c r="AW52" s="196">
        <f>IF($BG52&gt;$AV52,$BG52*(1+'Factors &amp; Percentages'!$B$24),
IF($AU52&gt;$AV52,$AV52,
IF($AU52&gt;$BG52,$AU52,
$BG52*(1+'Factors &amp; Percentages'!$B$24))))</f>
        <v>43997.85</v>
      </c>
      <c r="AX52" s="185">
        <f t="shared" si="6"/>
        <v>43997.85</v>
      </c>
      <c r="AY52" s="127"/>
      <c r="AZ52" s="27"/>
      <c r="BA52" s="223">
        <v>43720.343917824539</v>
      </c>
      <c r="BB52" s="185">
        <v>37562</v>
      </c>
      <c r="BC52" s="204">
        <v>44101</v>
      </c>
      <c r="BD52" s="218">
        <v>46558.200000000004</v>
      </c>
      <c r="BE52" s="224">
        <v>53810.909355872449</v>
      </c>
      <c r="BF52" s="219"/>
      <c r="BG52" s="221">
        <v>31500</v>
      </c>
      <c r="BH52" s="226">
        <v>30000</v>
      </c>
      <c r="BI52" s="220">
        <v>30000</v>
      </c>
      <c r="BJ52" s="227">
        <v>30000</v>
      </c>
      <c r="BK52" s="221">
        <v>45004</v>
      </c>
      <c r="BL52" s="128">
        <v>45004</v>
      </c>
      <c r="BM52" s="128">
        <v>44558</v>
      </c>
    </row>
    <row r="53" spans="1:65" x14ac:dyDescent="0.3">
      <c r="A53" s="111" t="s">
        <v>352</v>
      </c>
      <c r="B53" s="111" t="s">
        <v>353</v>
      </c>
      <c r="C53" s="112" t="s">
        <v>97</v>
      </c>
      <c r="D53" s="113" t="s">
        <v>295</v>
      </c>
      <c r="E53" s="113" t="s">
        <v>295</v>
      </c>
      <c r="F53" s="111"/>
      <c r="G53" s="46">
        <f t="shared" si="7"/>
        <v>32214</v>
      </c>
      <c r="H53" s="111"/>
      <c r="I53" s="114">
        <v>92238</v>
      </c>
      <c r="J53" s="47">
        <v>51603</v>
      </c>
      <c r="K53" s="47">
        <v>68504</v>
      </c>
      <c r="L53" s="47">
        <v>42813</v>
      </c>
      <c r="M53" s="47">
        <v>60004</v>
      </c>
      <c r="N53" s="114">
        <v>24875</v>
      </c>
      <c r="O53" s="47">
        <v>19897</v>
      </c>
      <c r="P53" s="47">
        <v>-17749</v>
      </c>
      <c r="Q53" s="115">
        <v>6717</v>
      </c>
      <c r="R53" s="47">
        <v>7663</v>
      </c>
      <c r="S53" s="47"/>
      <c r="T53" s="114">
        <v>-9643</v>
      </c>
      <c r="U53" s="47">
        <v>1618</v>
      </c>
      <c r="V53" s="47">
        <v>16319</v>
      </c>
      <c r="W53" s="47">
        <v>16319</v>
      </c>
      <c r="X53" s="114">
        <v>1000</v>
      </c>
      <c r="Y53" s="47">
        <v>0</v>
      </c>
      <c r="Z53" s="47">
        <v>0</v>
      </c>
      <c r="AA53" s="47">
        <v>0</v>
      </c>
      <c r="AB53" s="47"/>
      <c r="AC53" s="16">
        <f t="shared" si="8"/>
        <v>92338</v>
      </c>
      <c r="AD53" s="16">
        <f t="shared" si="9"/>
        <v>23910.7</v>
      </c>
      <c r="AE53" s="16">
        <f>SUM(AC53*'Factors &amp; Percentages'!$E$27+AD53*'Factors &amp; Percentages'!$E$28)</f>
        <v>9985.7935588518285</v>
      </c>
      <c r="AF53" s="16"/>
      <c r="AG53" s="101">
        <v>0.5</v>
      </c>
      <c r="AH53" s="18">
        <f>AG53*'Factors &amp; Percentages'!$E$31</f>
        <v>6549.9230443777469</v>
      </c>
      <c r="AI53" s="18"/>
      <c r="AJ53" s="18">
        <v>1224</v>
      </c>
      <c r="AK53" s="18">
        <f>AJ53*'Factors &amp; Percentages'!$E$34</f>
        <v>2561.0609529973985</v>
      </c>
      <c r="AL53" s="18"/>
      <c r="AM53" s="30">
        <v>35</v>
      </c>
      <c r="AN53" s="30">
        <v>35</v>
      </c>
      <c r="AO53" s="30">
        <v>77</v>
      </c>
      <c r="AP53" s="116">
        <v>66</v>
      </c>
      <c r="AQ53" s="115">
        <v>6594</v>
      </c>
      <c r="AR53" s="115">
        <f t="shared" si="3"/>
        <v>6594</v>
      </c>
      <c r="AS53" s="18">
        <f>AN53*'Factors &amp; Percentages'!$E$37+AP53*'Factors &amp; Percentages'!$E$38+AR53*'Factors &amp; Percentages'!$E$39</f>
        <v>7242.0449584086155</v>
      </c>
      <c r="AT53" s="18"/>
      <c r="AU53" s="18">
        <f t="shared" si="4"/>
        <v>26338.822514635591</v>
      </c>
      <c r="AV53" s="69">
        <f t="shared" si="10"/>
        <v>26338.822514635591</v>
      </c>
      <c r="AW53" s="46">
        <f>IF($BG53&gt;$AV53,$BG53*(1+'Factors &amp; Percentages'!$B$24),
IF($AU53&gt;$AV53,$AV53,
IF($AU53&gt;$BG53,$AU53,
$BG53*(1+'Factors &amp; Percentages'!$B$24))))</f>
        <v>32214</v>
      </c>
      <c r="AX53" s="46">
        <f t="shared" si="6"/>
        <v>32214</v>
      </c>
      <c r="AY53" s="69"/>
      <c r="AZ53" s="27"/>
      <c r="BA53" s="21">
        <v>30679.95</v>
      </c>
      <c r="BB53" s="141">
        <v>29219.4</v>
      </c>
      <c r="BC53" s="119">
        <v>27828</v>
      </c>
      <c r="BD53" s="120">
        <v>27073.653448160585</v>
      </c>
      <c r="BE53" s="120">
        <v>32697.499999999996</v>
      </c>
      <c r="BF53" s="69"/>
      <c r="BG53" s="73">
        <v>30680</v>
      </c>
      <c r="BH53" s="73">
        <v>29219</v>
      </c>
      <c r="BI53" s="117">
        <v>27828</v>
      </c>
      <c r="BJ53" s="118">
        <v>27074</v>
      </c>
      <c r="BK53" s="106">
        <v>27000</v>
      </c>
      <c r="BL53" s="106">
        <v>31900</v>
      </c>
      <c r="BM53" s="106">
        <v>31100</v>
      </c>
    </row>
    <row r="54" spans="1:65" x14ac:dyDescent="0.3">
      <c r="A54" s="121" t="s">
        <v>354</v>
      </c>
      <c r="B54" s="121" t="s">
        <v>355</v>
      </c>
      <c r="C54" s="174" t="s">
        <v>98</v>
      </c>
      <c r="D54" s="122" t="s">
        <v>295</v>
      </c>
      <c r="E54" s="173" t="s">
        <v>295</v>
      </c>
      <c r="F54" s="111"/>
      <c r="G54" s="185">
        <f t="shared" si="7"/>
        <v>55614.89801196909</v>
      </c>
      <c r="H54" s="186"/>
      <c r="I54" s="187">
        <v>55086</v>
      </c>
      <c r="J54" s="188">
        <v>55811</v>
      </c>
      <c r="K54" s="189">
        <v>53135</v>
      </c>
      <c r="L54" s="123">
        <v>45638</v>
      </c>
      <c r="M54" s="123">
        <v>48994</v>
      </c>
      <c r="N54" s="190">
        <v>249886</v>
      </c>
      <c r="O54" s="189">
        <v>253157</v>
      </c>
      <c r="P54" s="188">
        <v>239450</v>
      </c>
      <c r="Q54" s="208">
        <v>253660</v>
      </c>
      <c r="R54" s="123">
        <v>239328</v>
      </c>
      <c r="S54" s="188"/>
      <c r="T54" s="187">
        <v>172168</v>
      </c>
      <c r="U54" s="188">
        <v>197240</v>
      </c>
      <c r="V54" s="189">
        <v>199819</v>
      </c>
      <c r="W54" s="123">
        <v>370389</v>
      </c>
      <c r="X54" s="190">
        <v>12630</v>
      </c>
      <c r="Y54" s="189">
        <v>10799</v>
      </c>
      <c r="Z54" s="188">
        <v>6281</v>
      </c>
      <c r="AA54" s="123">
        <v>4613</v>
      </c>
      <c r="AB54" s="191"/>
      <c r="AC54" s="204">
        <f t="shared" si="8"/>
        <v>56349</v>
      </c>
      <c r="AD54" s="205">
        <f t="shared" si="9"/>
        <v>267102.8</v>
      </c>
      <c r="AE54" s="204">
        <f>SUM(AC54*'Factors &amp; Percentages'!$E$27+AD54*'Factors &amp; Percentages'!$E$28)</f>
        <v>23058.072010330779</v>
      </c>
      <c r="AF54" s="16"/>
      <c r="AG54" s="125">
        <v>0.4</v>
      </c>
      <c r="AH54" s="204">
        <f>AG54*'Factors &amp; Percentages'!$E$31</f>
        <v>5239.9384355021975</v>
      </c>
      <c r="AI54" s="18"/>
      <c r="AJ54" s="126">
        <v>10520</v>
      </c>
      <c r="AK54" s="204">
        <f>AJ54*'Factors &amp; Percentages'!$E$34</f>
        <v>22011.733027395941</v>
      </c>
      <c r="AL54" s="18"/>
      <c r="AM54" s="124">
        <v>25</v>
      </c>
      <c r="AN54" s="211">
        <v>24</v>
      </c>
      <c r="AO54" s="124">
        <v>56</v>
      </c>
      <c r="AP54" s="212">
        <v>56</v>
      </c>
      <c r="AQ54" s="135">
        <v>4949</v>
      </c>
      <c r="AR54" s="179">
        <f t="shared" si="3"/>
        <v>4949</v>
      </c>
      <c r="AS54" s="205">
        <f>AN54*'Factors &amp; Percentages'!$E$37+AP54*'Factors &amp; Percentages'!$E$38+AR54*'Factors &amp; Percentages'!$E$39</f>
        <v>5305.1545387401729</v>
      </c>
      <c r="AT54" s="18"/>
      <c r="AU54" s="203">
        <f t="shared" si="4"/>
        <v>55614.89801196909</v>
      </c>
      <c r="AV54" s="213">
        <f t="shared" si="10"/>
        <v>55614.89801196909</v>
      </c>
      <c r="AW54" s="196">
        <f>IF($BG54&gt;$AV54,$BG54*(1+'Factors &amp; Percentages'!$B$24),
IF($AU54&gt;$AV54,$AV54,
IF($AU54&gt;$BG54,$AU54,
$BG54*(1+'Factors &amp; Percentages'!$B$24))))</f>
        <v>55614.89801196909</v>
      </c>
      <c r="AX54" s="185">
        <f t="shared" si="6"/>
        <v>55614.89801196909</v>
      </c>
      <c r="AY54" s="127"/>
      <c r="AZ54" s="27"/>
      <c r="BA54" s="223">
        <v>51176.168191948396</v>
      </c>
      <c r="BB54" s="185">
        <v>48925</v>
      </c>
      <c r="BC54" s="204">
        <v>33438</v>
      </c>
      <c r="BD54" s="218">
        <v>45507.95</v>
      </c>
      <c r="BE54" s="224">
        <v>44397.950000000004</v>
      </c>
      <c r="BF54" s="219"/>
      <c r="BG54" s="221">
        <v>38440</v>
      </c>
      <c r="BH54" s="226">
        <v>35926</v>
      </c>
      <c r="BI54" s="220">
        <v>33438</v>
      </c>
      <c r="BJ54" s="227">
        <v>31846</v>
      </c>
      <c r="BK54" s="221">
        <v>44398</v>
      </c>
      <c r="BL54" s="128">
        <v>32410</v>
      </c>
      <c r="BM54" s="128">
        <v>30870</v>
      </c>
    </row>
    <row r="55" spans="1:65" x14ac:dyDescent="0.3">
      <c r="A55" s="111" t="s">
        <v>356</v>
      </c>
      <c r="B55" s="111" t="s">
        <v>357</v>
      </c>
      <c r="C55" s="112" t="s">
        <v>99</v>
      </c>
      <c r="D55" s="113" t="s">
        <v>295</v>
      </c>
      <c r="E55" s="113" t="s">
        <v>295</v>
      </c>
      <c r="F55" s="111"/>
      <c r="G55" s="46">
        <f t="shared" si="7"/>
        <v>138915</v>
      </c>
      <c r="H55" s="111"/>
      <c r="I55" s="114">
        <v>284664</v>
      </c>
      <c r="J55" s="47">
        <v>362395</v>
      </c>
      <c r="K55" s="47">
        <v>281586</v>
      </c>
      <c r="L55" s="47">
        <v>271445</v>
      </c>
      <c r="M55" s="47">
        <v>298989</v>
      </c>
      <c r="N55" s="114">
        <v>194819</v>
      </c>
      <c r="O55" s="47">
        <v>151021</v>
      </c>
      <c r="P55" s="47">
        <v>147714</v>
      </c>
      <c r="Q55" s="115">
        <v>171165</v>
      </c>
      <c r="R55" s="47">
        <v>178263</v>
      </c>
      <c r="S55" s="47"/>
      <c r="T55" s="114">
        <v>73353</v>
      </c>
      <c r="U55" s="47">
        <v>71674</v>
      </c>
      <c r="V55" s="47">
        <v>25613</v>
      </c>
      <c r="W55" s="47">
        <v>20647</v>
      </c>
      <c r="X55" s="114">
        <v>22329</v>
      </c>
      <c r="Y55" s="47">
        <v>4338</v>
      </c>
      <c r="Z55" s="47">
        <v>316</v>
      </c>
      <c r="AA55" s="47">
        <v>4991</v>
      </c>
      <c r="AB55" s="47"/>
      <c r="AC55" s="16">
        <f t="shared" si="8"/>
        <v>286896.90000000002</v>
      </c>
      <c r="AD55" s="16">
        <f t="shared" si="9"/>
        <v>202154.3</v>
      </c>
      <c r="AE55" s="16">
        <f>SUM(AC55*'Factors &amp; Percentages'!$E$27+AD55*'Factors &amp; Percentages'!$E$28)</f>
        <v>39616.277639997017</v>
      </c>
      <c r="AF55" s="16"/>
      <c r="AG55" s="101">
        <v>1</v>
      </c>
      <c r="AH55" s="18">
        <f>AG55*'Factors &amp; Percentages'!$E$31</f>
        <v>13099.846088755494</v>
      </c>
      <c r="AI55" s="18"/>
      <c r="AJ55" s="18">
        <v>11348</v>
      </c>
      <c r="AK55" s="18">
        <f>AJ55*'Factors &amp; Percentages'!$E$34</f>
        <v>23744.215436776536</v>
      </c>
      <c r="AL55" s="18"/>
      <c r="AM55" s="30">
        <v>176</v>
      </c>
      <c r="AN55" s="30">
        <v>220</v>
      </c>
      <c r="AO55" s="30">
        <v>211</v>
      </c>
      <c r="AP55" s="116">
        <v>177</v>
      </c>
      <c r="AQ55" s="115">
        <v>2844</v>
      </c>
      <c r="AR55" s="115">
        <f t="shared" si="3"/>
        <v>2844</v>
      </c>
      <c r="AS55" s="18">
        <f>AN55*'Factors &amp; Percentages'!$E$37+AP55*'Factors &amp; Percentages'!$E$38+AR55*'Factors &amp; Percentages'!$E$39</f>
        <v>32061.032295333709</v>
      </c>
      <c r="AT55" s="18"/>
      <c r="AU55" s="18">
        <f t="shared" si="4"/>
        <v>108521.37146086275</v>
      </c>
      <c r="AV55" s="69">
        <f t="shared" si="10"/>
        <v>108521.37146086275</v>
      </c>
      <c r="AW55" s="46">
        <f>IF($BG55&gt;$AV55,$BG55*(1+'Factors &amp; Percentages'!$B$24),
IF($AU55&gt;$AV55,$AV55,
IF($AU55&gt;$BG55,$AU55,
$BG55*(1+'Factors &amp; Percentages'!$B$24))))</f>
        <v>138915</v>
      </c>
      <c r="AX55" s="46">
        <f t="shared" si="6"/>
        <v>138915</v>
      </c>
      <c r="AY55" s="69"/>
      <c r="AZ55" s="27"/>
      <c r="BA55" s="21">
        <v>132300</v>
      </c>
      <c r="BB55" s="46">
        <v>126000</v>
      </c>
      <c r="BC55" s="119">
        <v>134396</v>
      </c>
      <c r="BD55" s="120">
        <v>123135.05546696413</v>
      </c>
      <c r="BE55" s="120">
        <v>137657.5</v>
      </c>
      <c r="BF55" s="69"/>
      <c r="BG55" s="73">
        <v>132300</v>
      </c>
      <c r="BH55" s="73">
        <v>126000</v>
      </c>
      <c r="BI55" s="117">
        <v>120000</v>
      </c>
      <c r="BJ55" s="118">
        <v>100000</v>
      </c>
      <c r="BK55" s="106">
        <v>116250</v>
      </c>
      <c r="BL55" s="106">
        <v>134000</v>
      </c>
      <c r="BM55" s="106">
        <v>131300</v>
      </c>
    </row>
    <row r="56" spans="1:65" x14ac:dyDescent="0.3">
      <c r="A56" s="121" t="s">
        <v>358</v>
      </c>
      <c r="B56" s="121" t="s">
        <v>359</v>
      </c>
      <c r="C56" s="174" t="s">
        <v>100</v>
      </c>
      <c r="D56" s="122" t="s">
        <v>295</v>
      </c>
      <c r="E56" s="173" t="s">
        <v>295</v>
      </c>
      <c r="F56" s="111"/>
      <c r="G56" s="185">
        <f t="shared" si="7"/>
        <v>42000</v>
      </c>
      <c r="H56" s="186"/>
      <c r="I56" s="187">
        <v>82864</v>
      </c>
      <c r="J56" s="188">
        <v>75564</v>
      </c>
      <c r="K56" s="189">
        <v>71223</v>
      </c>
      <c r="L56" s="123">
        <v>50776</v>
      </c>
      <c r="M56" s="123">
        <v>78186</v>
      </c>
      <c r="N56" s="190">
        <v>1832</v>
      </c>
      <c r="O56" s="189">
        <v>22437</v>
      </c>
      <c r="P56" s="188">
        <v>15653</v>
      </c>
      <c r="Q56" s="208">
        <v>12449</v>
      </c>
      <c r="R56" s="123">
        <v>35233</v>
      </c>
      <c r="S56" s="188"/>
      <c r="T56" s="187">
        <v>9045</v>
      </c>
      <c r="U56" s="188">
        <v>9258</v>
      </c>
      <c r="V56" s="189">
        <v>8781</v>
      </c>
      <c r="W56" s="123">
        <v>18105</v>
      </c>
      <c r="X56" s="190">
        <v>2029</v>
      </c>
      <c r="Y56" s="189">
        <v>2127</v>
      </c>
      <c r="Z56" s="188">
        <v>233</v>
      </c>
      <c r="AA56" s="123">
        <v>1604</v>
      </c>
      <c r="AB56" s="191"/>
      <c r="AC56" s="204">
        <f t="shared" si="8"/>
        <v>83066.899999999994</v>
      </c>
      <c r="AD56" s="205">
        <f t="shared" si="9"/>
        <v>2736.5</v>
      </c>
      <c r="AE56" s="204">
        <f>SUM(AC56*'Factors &amp; Percentages'!$E$27+AD56*'Factors &amp; Percentages'!$E$28)</f>
        <v>7721.9372486120492</v>
      </c>
      <c r="AF56" s="16"/>
      <c r="AG56" s="125">
        <v>0.25</v>
      </c>
      <c r="AH56" s="204">
        <f>AG56*'Factors &amp; Percentages'!$E$31</f>
        <v>3274.9615221888735</v>
      </c>
      <c r="AI56" s="18"/>
      <c r="AJ56" s="126">
        <v>9734</v>
      </c>
      <c r="AK56" s="204">
        <f>AJ56*'Factors &amp; Percentages'!$E$34</f>
        <v>20367.130160520162</v>
      </c>
      <c r="AL56" s="18"/>
      <c r="AM56" s="124">
        <v>46</v>
      </c>
      <c r="AN56" s="211">
        <v>41</v>
      </c>
      <c r="AO56" s="124">
        <v>68</v>
      </c>
      <c r="AP56" s="212">
        <v>64</v>
      </c>
      <c r="AQ56" s="135">
        <v>8954</v>
      </c>
      <c r="AR56" s="179">
        <f t="shared" si="3"/>
        <v>8954</v>
      </c>
      <c r="AS56" s="205">
        <f>AN56*'Factors &amp; Percentages'!$E$37+AP56*'Factors &amp; Percentages'!$E$38+AR56*'Factors &amp; Percentages'!$E$39</f>
        <v>8422.4216216794266</v>
      </c>
      <c r="AT56" s="18"/>
      <c r="AU56" s="203">
        <f t="shared" si="4"/>
        <v>39786.450553000512</v>
      </c>
      <c r="AV56" s="213">
        <f t="shared" si="10"/>
        <v>39786.450553000512</v>
      </c>
      <c r="AW56" s="196">
        <f>IF($BG56&gt;$AV56,$BG56*(1+'Factors &amp; Percentages'!$B$24),
IF($AU56&gt;$AV56,$AV56,
IF($AU56&gt;$BG56,$AU56,
$BG56*(1+'Factors &amp; Percentages'!$B$24))))</f>
        <v>42000</v>
      </c>
      <c r="AX56" s="185">
        <f t="shared" si="6"/>
        <v>42000</v>
      </c>
      <c r="AY56" s="127"/>
      <c r="AZ56" s="27"/>
      <c r="BA56" s="223">
        <v>42000</v>
      </c>
      <c r="BB56" s="185">
        <v>42000</v>
      </c>
      <c r="BC56" s="204">
        <v>42000</v>
      </c>
      <c r="BD56" s="218">
        <v>49332.376825565647</v>
      </c>
      <c r="BE56" s="224">
        <v>60919.849999999991</v>
      </c>
      <c r="BF56" s="219"/>
      <c r="BG56" s="221">
        <v>40000</v>
      </c>
      <c r="BH56" s="226">
        <v>40000</v>
      </c>
      <c r="BI56" s="220">
        <v>40000</v>
      </c>
      <c r="BJ56" s="227">
        <v>40000</v>
      </c>
      <c r="BK56" s="221">
        <v>40000</v>
      </c>
      <c r="BL56" s="128">
        <v>59434</v>
      </c>
      <c r="BM56" s="128">
        <v>58155</v>
      </c>
    </row>
    <row r="57" spans="1:65" x14ac:dyDescent="0.3">
      <c r="A57" s="111" t="s">
        <v>112</v>
      </c>
      <c r="B57" s="111" t="s">
        <v>112</v>
      </c>
      <c r="C57" s="112" t="s">
        <v>112</v>
      </c>
      <c r="D57" s="113" t="s">
        <v>302</v>
      </c>
      <c r="E57" s="113" t="s">
        <v>112</v>
      </c>
      <c r="F57" s="111"/>
      <c r="G57" s="46">
        <f t="shared" si="7"/>
        <v>22353.087170416245</v>
      </c>
      <c r="H57" s="111"/>
      <c r="I57" s="114">
        <v>45717</v>
      </c>
      <c r="J57" s="47">
        <v>51103</v>
      </c>
      <c r="K57" s="47">
        <v>42969</v>
      </c>
      <c r="L57" s="47">
        <v>30443</v>
      </c>
      <c r="M57" s="47">
        <v>30103</v>
      </c>
      <c r="N57" s="114">
        <v>30669</v>
      </c>
      <c r="O57" s="47">
        <v>22557</v>
      </c>
      <c r="P57" s="47">
        <v>33696</v>
      </c>
      <c r="Q57" s="115">
        <v>18857</v>
      </c>
      <c r="R57" s="47">
        <v>27323</v>
      </c>
      <c r="S57" s="47"/>
      <c r="T57" s="114">
        <v>6252</v>
      </c>
      <c r="U57" s="47">
        <v>6072</v>
      </c>
      <c r="V57" s="47">
        <v>1438</v>
      </c>
      <c r="W57" s="47">
        <v>1799</v>
      </c>
      <c r="X57" s="114">
        <v>110</v>
      </c>
      <c r="Y57" s="47">
        <v>66</v>
      </c>
      <c r="Z57" s="47">
        <v>3</v>
      </c>
      <c r="AA57" s="47">
        <v>0</v>
      </c>
      <c r="AB57" s="47"/>
      <c r="AC57" s="16">
        <f t="shared" si="8"/>
        <v>45728</v>
      </c>
      <c r="AD57" s="16">
        <f t="shared" si="9"/>
        <v>31294.2</v>
      </c>
      <c r="AE57" s="16">
        <f>SUM(AC57*'Factors &amp; Percentages'!$E$27+AD57*'Factors &amp; Percentages'!$E$28)</f>
        <v>6252.1038164869433</v>
      </c>
      <c r="AF57" s="16"/>
      <c r="AG57" s="101">
        <v>0.4</v>
      </c>
      <c r="AH57" s="18">
        <f>AG57*'Factors &amp; Percentages'!$E$31</f>
        <v>5239.9384355021975</v>
      </c>
      <c r="AI57" s="18"/>
      <c r="AJ57" s="18">
        <v>2377</v>
      </c>
      <c r="AK57" s="18">
        <f>AJ57*'Factors &amp; Percentages'!$E$34</f>
        <v>4973.5636317604713</v>
      </c>
      <c r="AL57" s="18"/>
      <c r="AM57" s="137">
        <v>28</v>
      </c>
      <c r="AN57" s="30">
        <v>28</v>
      </c>
      <c r="AO57" s="137">
        <v>76</v>
      </c>
      <c r="AP57" s="116">
        <v>66</v>
      </c>
      <c r="AQ57" s="115">
        <v>4219</v>
      </c>
      <c r="AR57" s="115">
        <f t="shared" si="3"/>
        <v>4219</v>
      </c>
      <c r="AS57" s="18">
        <f>AN57*'Factors &amp; Percentages'!$E$37+AP57*'Factors &amp; Percentages'!$E$38+AR57*'Factors &amp; Percentages'!$E$39</f>
        <v>5887.4812866666362</v>
      </c>
      <c r="AT57" s="18"/>
      <c r="AU57" s="18">
        <f t="shared" si="4"/>
        <v>22353.087170416245</v>
      </c>
      <c r="AV57" s="69">
        <f t="shared" si="10"/>
        <v>22353.087170416245</v>
      </c>
      <c r="AW57" s="46">
        <f>IF($BG57&gt;$AV57,$BG57*(1+'Factors &amp; Percentages'!$B$24),
IF($AU57&gt;$AV57,$AV57,
IF($AU57&gt;$BG57,$AU57,
$BG57*(1+'Factors &amp; Percentages'!$B$24))))</f>
        <v>22353.087170416245</v>
      </c>
      <c r="AX57" s="46">
        <f t="shared" si="6"/>
        <v>22353.087170416245</v>
      </c>
      <c r="AY57" s="69"/>
      <c r="AZ57" s="27"/>
      <c r="BA57" s="21">
        <v>20589.490108868638</v>
      </c>
      <c r="BB57" s="46">
        <v>18936</v>
      </c>
      <c r="BC57" s="119">
        <v>19788</v>
      </c>
      <c r="BD57" s="120">
        <v>19566.95</v>
      </c>
      <c r="BE57" s="120">
        <v>22379.300064183619</v>
      </c>
      <c r="BF57" s="69"/>
      <c r="BG57" s="73">
        <v>12894</v>
      </c>
      <c r="BH57" s="73">
        <v>12896</v>
      </c>
      <c r="BI57" s="117">
        <v>13850</v>
      </c>
      <c r="BJ57" s="118">
        <v>11844</v>
      </c>
      <c r="BK57" s="106">
        <v>11844</v>
      </c>
      <c r="BL57" s="106">
        <v>16644</v>
      </c>
      <c r="BM57" s="106">
        <v>16175</v>
      </c>
    </row>
    <row r="58" spans="1:65" x14ac:dyDescent="0.3">
      <c r="A58" s="121" t="s">
        <v>114</v>
      </c>
      <c r="B58" s="121" t="s">
        <v>114</v>
      </c>
      <c r="C58" s="174" t="s">
        <v>114</v>
      </c>
      <c r="D58" s="122" t="s">
        <v>302</v>
      </c>
      <c r="E58" s="173" t="s">
        <v>112</v>
      </c>
      <c r="F58" s="111"/>
      <c r="G58" s="185">
        <f t="shared" si="7"/>
        <v>11956.991494068479</v>
      </c>
      <c r="H58" s="186"/>
      <c r="I58" s="187">
        <v>20106</v>
      </c>
      <c r="J58" s="188">
        <v>13865</v>
      </c>
      <c r="K58" s="189">
        <v>15032</v>
      </c>
      <c r="L58" s="123">
        <v>13562</v>
      </c>
      <c r="M58" s="123">
        <v>5458</v>
      </c>
      <c r="N58" s="190">
        <v>25532</v>
      </c>
      <c r="O58" s="189">
        <v>38445</v>
      </c>
      <c r="P58" s="188">
        <v>45176</v>
      </c>
      <c r="Q58" s="208">
        <v>38777</v>
      </c>
      <c r="R58" s="123">
        <v>34682</v>
      </c>
      <c r="S58" s="188"/>
      <c r="T58" s="187">
        <v>16880</v>
      </c>
      <c r="U58" s="188">
        <v>14436</v>
      </c>
      <c r="V58" s="189">
        <v>14122</v>
      </c>
      <c r="W58" s="123">
        <v>11513</v>
      </c>
      <c r="X58" s="190">
        <v>2450</v>
      </c>
      <c r="Y58" s="189">
        <v>0</v>
      </c>
      <c r="Z58" s="188">
        <v>6870</v>
      </c>
      <c r="AA58" s="123">
        <v>0</v>
      </c>
      <c r="AB58" s="191"/>
      <c r="AC58" s="204">
        <f t="shared" si="8"/>
        <v>20351</v>
      </c>
      <c r="AD58" s="205">
        <f t="shared" si="9"/>
        <v>27220</v>
      </c>
      <c r="AE58" s="204">
        <f>SUM(AC58*'Factors &amp; Percentages'!$E$27+AD58*'Factors &amp; Percentages'!$E$28)</f>
        <v>3675.4969917818876</v>
      </c>
      <c r="AF58" s="16"/>
      <c r="AG58" s="125">
        <v>0.4</v>
      </c>
      <c r="AH58" s="204">
        <f>AG58*'Factors &amp; Percentages'!$E$31</f>
        <v>5239.9384355021975</v>
      </c>
      <c r="AI58" s="18"/>
      <c r="AJ58" s="126">
        <v>240</v>
      </c>
      <c r="AK58" s="204">
        <f>AJ58*'Factors &amp; Percentages'!$E$34</f>
        <v>502.16881431321542</v>
      </c>
      <c r="AL58" s="18"/>
      <c r="AM58" s="124">
        <v>12</v>
      </c>
      <c r="AN58" s="211">
        <v>12</v>
      </c>
      <c r="AO58" s="124">
        <v>15</v>
      </c>
      <c r="AP58" s="212">
        <v>15</v>
      </c>
      <c r="AQ58" s="135">
        <v>3413</v>
      </c>
      <c r="AR58" s="179">
        <f t="shared" si="3"/>
        <v>3413</v>
      </c>
      <c r="AS58" s="205">
        <f>AN58*'Factors &amp; Percentages'!$E$37+AP58*'Factors &amp; Percentages'!$E$38+AR58*'Factors &amp; Percentages'!$E$39</f>
        <v>2539.3872524711778</v>
      </c>
      <c r="AT58" s="18"/>
      <c r="AU58" s="203">
        <f t="shared" si="4"/>
        <v>11956.991494068479</v>
      </c>
      <c r="AV58" s="213">
        <f t="shared" si="10"/>
        <v>11956.991494068479</v>
      </c>
      <c r="AW58" s="196">
        <f>IF($BG58&gt;$AV58,$BG58*(1+'Factors &amp; Percentages'!$B$24),
IF($AU58&gt;$AV58,$AV58,
IF($AU58&gt;$BG58,$AU58,
$BG58*(1+'Factors &amp; Percentages'!$B$24))))</f>
        <v>11956.991494068479</v>
      </c>
      <c r="AX58" s="185">
        <f t="shared" si="6"/>
        <v>11956.991494068479</v>
      </c>
      <c r="AY58" s="127"/>
      <c r="AZ58" s="27"/>
      <c r="BA58" s="223">
        <v>11107.128646222176</v>
      </c>
      <c r="BB58" s="185">
        <v>11242</v>
      </c>
      <c r="BC58" s="204">
        <v>8815</v>
      </c>
      <c r="BD58" s="218">
        <v>3547.7000000000003</v>
      </c>
      <c r="BE58" s="224">
        <v>10819.9</v>
      </c>
      <c r="BF58" s="219"/>
      <c r="BG58" s="221">
        <v>5500</v>
      </c>
      <c r="BH58" s="226">
        <v>4500</v>
      </c>
      <c r="BI58" s="220">
        <v>3000</v>
      </c>
      <c r="BJ58" s="227">
        <v>1235.2</v>
      </c>
      <c r="BK58" s="221">
        <v>3015</v>
      </c>
      <c r="BL58" s="128">
        <v>0</v>
      </c>
      <c r="BM58" s="128">
        <v>8500</v>
      </c>
    </row>
    <row r="59" spans="1:65" x14ac:dyDescent="0.3">
      <c r="A59" s="111" t="s">
        <v>360</v>
      </c>
      <c r="B59" s="111" t="s">
        <v>162</v>
      </c>
      <c r="C59" s="112" t="s">
        <v>162</v>
      </c>
      <c r="D59" s="113" t="s">
        <v>302</v>
      </c>
      <c r="E59" s="113" t="s">
        <v>317</v>
      </c>
      <c r="F59" s="111"/>
      <c r="G59" s="46">
        <f t="shared" si="7"/>
        <v>21000</v>
      </c>
      <c r="H59" s="111"/>
      <c r="I59" s="114">
        <v>24588</v>
      </c>
      <c r="J59" s="47">
        <v>41487</v>
      </c>
      <c r="K59" s="47">
        <v>46082</v>
      </c>
      <c r="L59" s="47">
        <v>32528</v>
      </c>
      <c r="M59" s="47">
        <v>29824</v>
      </c>
      <c r="N59" s="114">
        <v>29935</v>
      </c>
      <c r="O59" s="47">
        <v>38290</v>
      </c>
      <c r="P59" s="47">
        <v>34077</v>
      </c>
      <c r="Q59" s="115">
        <v>17593</v>
      </c>
      <c r="R59" s="47">
        <v>14715</v>
      </c>
      <c r="S59" s="47"/>
      <c r="T59" s="114">
        <v>16301</v>
      </c>
      <c r="U59" s="47">
        <v>2582</v>
      </c>
      <c r="V59" s="47">
        <v>4564</v>
      </c>
      <c r="W59" s="47">
        <v>6217</v>
      </c>
      <c r="X59" s="114">
        <v>459</v>
      </c>
      <c r="Y59" s="47">
        <v>1630</v>
      </c>
      <c r="Z59" s="47">
        <v>869</v>
      </c>
      <c r="AA59" s="47">
        <v>10142</v>
      </c>
      <c r="AB59" s="47"/>
      <c r="AC59" s="16">
        <f t="shared" si="8"/>
        <v>24633.9</v>
      </c>
      <c r="AD59" s="16">
        <f t="shared" si="9"/>
        <v>31565.1</v>
      </c>
      <c r="AE59" s="16">
        <f>SUM(AC59*'Factors &amp; Percentages'!$E$27+AD59*'Factors &amp; Percentages'!$E$28)</f>
        <v>4356.0718066699719</v>
      </c>
      <c r="AF59" s="16"/>
      <c r="AG59" s="101">
        <v>0.33333333333333331</v>
      </c>
      <c r="AH59" s="18">
        <f>AG59*'Factors &amp; Percentages'!$E$31</f>
        <v>4366.6153629184973</v>
      </c>
      <c r="AI59" s="18"/>
      <c r="AJ59" s="18">
        <v>11596</v>
      </c>
      <c r="AK59" s="18">
        <f>AJ59*'Factors &amp; Percentages'!$E$34</f>
        <v>24263.123211566857</v>
      </c>
      <c r="AL59" s="18"/>
      <c r="AM59" s="30">
        <v>35</v>
      </c>
      <c r="AN59" s="30">
        <v>30</v>
      </c>
      <c r="AO59" s="30">
        <v>67</v>
      </c>
      <c r="AP59" s="116">
        <v>68</v>
      </c>
      <c r="AQ59" s="115">
        <v>3584</v>
      </c>
      <c r="AR59" s="115">
        <f t="shared" si="3"/>
        <v>3584</v>
      </c>
      <c r="AS59" s="18">
        <f>AN59*'Factors &amp; Percentages'!$E$37+AP59*'Factors &amp; Percentages'!$E$38+AR59*'Factors &amp; Percentages'!$E$39</f>
        <v>6053.164523193379</v>
      </c>
      <c r="AT59" s="18"/>
      <c r="AU59" s="18">
        <f t="shared" si="4"/>
        <v>39038.97490434871</v>
      </c>
      <c r="AV59" s="69">
        <f t="shared" si="10"/>
        <v>15982.2</v>
      </c>
      <c r="AW59" s="46">
        <f>IF($BG59&gt;$AV59,$BG59*(1+'Factors &amp; Percentages'!$B$24),
IF($AU59&gt;$AV59,$AV59,
IF($AU59&gt;$BG59,$AU59,
$BG59*(1+'Factors &amp; Percentages'!$B$24))))</f>
        <v>21000</v>
      </c>
      <c r="AX59" s="46">
        <f t="shared" si="6"/>
        <v>21000</v>
      </c>
      <c r="AY59" s="69"/>
      <c r="AZ59" s="27"/>
      <c r="BA59" s="21">
        <v>26966.55</v>
      </c>
      <c r="BB59" s="46">
        <v>29953.3</v>
      </c>
      <c r="BC59" s="119">
        <v>21143</v>
      </c>
      <c r="BD59" s="120">
        <v>19385.600000000002</v>
      </c>
      <c r="BE59" s="120">
        <v>27039.15</v>
      </c>
      <c r="BF59" s="69"/>
      <c r="BG59" s="73">
        <v>20000</v>
      </c>
      <c r="BH59" s="73">
        <v>20000</v>
      </c>
      <c r="BI59" s="117">
        <v>16000</v>
      </c>
      <c r="BJ59" s="118">
        <v>16000</v>
      </c>
      <c r="BK59" s="106">
        <v>16000</v>
      </c>
      <c r="BL59" s="106">
        <v>21000</v>
      </c>
      <c r="BM59" s="106">
        <v>21000</v>
      </c>
    </row>
    <row r="60" spans="1:65" x14ac:dyDescent="0.3">
      <c r="A60" s="121" t="s">
        <v>61</v>
      </c>
      <c r="B60" s="121" t="s">
        <v>61</v>
      </c>
      <c r="C60" s="175" t="s">
        <v>61</v>
      </c>
      <c r="D60" s="122" t="s">
        <v>302</v>
      </c>
      <c r="E60" s="173" t="s">
        <v>299</v>
      </c>
      <c r="F60" s="111"/>
      <c r="G60" s="185">
        <f t="shared" si="7"/>
        <v>3316.9500000000003</v>
      </c>
      <c r="H60" s="186"/>
      <c r="I60" s="187">
        <v>5103</v>
      </c>
      <c r="J60" s="188">
        <v>7723</v>
      </c>
      <c r="K60" s="189">
        <v>6482</v>
      </c>
      <c r="L60" s="123">
        <v>5891</v>
      </c>
      <c r="M60" s="123">
        <v>6852</v>
      </c>
      <c r="N60" s="190">
        <v>2671</v>
      </c>
      <c r="O60" s="189">
        <v>2674</v>
      </c>
      <c r="P60" s="188">
        <v>2674</v>
      </c>
      <c r="Q60" s="208">
        <v>3921</v>
      </c>
      <c r="R60" s="123">
        <v>4566</v>
      </c>
      <c r="S60" s="188"/>
      <c r="T60" s="187">
        <v>32417</v>
      </c>
      <c r="U60" s="188">
        <v>34517</v>
      </c>
      <c r="V60" s="189">
        <v>34069</v>
      </c>
      <c r="W60" s="123">
        <v>34069</v>
      </c>
      <c r="X60" s="190">
        <v>1254</v>
      </c>
      <c r="Y60" s="189">
        <v>1094</v>
      </c>
      <c r="Z60" s="188">
        <v>0</v>
      </c>
      <c r="AA60" s="123">
        <v>0</v>
      </c>
      <c r="AB60" s="191"/>
      <c r="AC60" s="204">
        <f t="shared" si="8"/>
        <v>5228.3999999999996</v>
      </c>
      <c r="AD60" s="205">
        <f t="shared" si="9"/>
        <v>5912.7000000000007</v>
      </c>
      <c r="AE60" s="204">
        <f>SUM(AC60*'Factors &amp; Percentages'!$E$27+AD60*'Factors &amp; Percentages'!$E$28)</f>
        <v>871.69116822354897</v>
      </c>
      <c r="AF60" s="16"/>
      <c r="AG60" s="125">
        <v>0.25</v>
      </c>
      <c r="AH60" s="204">
        <f>AG60*'Factors &amp; Percentages'!$E$31</f>
        <v>3274.9615221888735</v>
      </c>
      <c r="AI60" s="18"/>
      <c r="AJ60" s="126">
        <v>3053</v>
      </c>
      <c r="AK60" s="204">
        <f>AJ60*'Factors &amp; Percentages'!$E$34</f>
        <v>6388.0057920760282</v>
      </c>
      <c r="AL60" s="18"/>
      <c r="AM60" s="124">
        <v>9</v>
      </c>
      <c r="AN60" s="211">
        <v>9</v>
      </c>
      <c r="AO60" s="124">
        <v>17</v>
      </c>
      <c r="AP60" s="212">
        <v>16</v>
      </c>
      <c r="AQ60" s="135">
        <v>1720</v>
      </c>
      <c r="AR60" s="179">
        <f t="shared" si="3"/>
        <v>1720</v>
      </c>
      <c r="AS60" s="205">
        <f>AN60*'Factors &amp; Percentages'!$E$37+AP60*'Factors &amp; Percentages'!$E$38+AR60*'Factors &amp; Percentages'!$E$39</f>
        <v>1844.4439448565568</v>
      </c>
      <c r="AT60" s="18"/>
      <c r="AU60" s="203">
        <f t="shared" si="4"/>
        <v>12379.102427345008</v>
      </c>
      <c r="AV60" s="213">
        <f t="shared" si="10"/>
        <v>3316.9500000000003</v>
      </c>
      <c r="AW60" s="196">
        <f>IF($BG60&gt;$AV60,$BG60*(1+'Factors &amp; Percentages'!$B$24),
IF($AU60&gt;$AV60,$AV60,
IF($AU60&gt;$BG60,$AU60,
$BG60*(1+'Factors &amp; Percentages'!$B$24))))</f>
        <v>3316.9500000000003</v>
      </c>
      <c r="AX60" s="185">
        <f t="shared" si="6"/>
        <v>3316.9500000000003</v>
      </c>
      <c r="AY60" s="127"/>
      <c r="AZ60" s="27"/>
      <c r="BA60" s="223">
        <v>5019.95</v>
      </c>
      <c r="BB60" s="185">
        <v>4213.3</v>
      </c>
      <c r="BC60" s="204">
        <v>3829</v>
      </c>
      <c r="BD60" s="218">
        <v>4453.8</v>
      </c>
      <c r="BE60" s="224">
        <v>6216.7</v>
      </c>
      <c r="BF60" s="219"/>
      <c r="BG60" s="221">
        <v>1600</v>
      </c>
      <c r="BH60" s="226">
        <v>1500</v>
      </c>
      <c r="BI60" s="220">
        <v>2200</v>
      </c>
      <c r="BJ60" s="227">
        <v>2000</v>
      </c>
      <c r="BK60" s="221">
        <v>2000</v>
      </c>
      <c r="BL60" s="128">
        <v>1200</v>
      </c>
      <c r="BM60" s="128">
        <v>1200</v>
      </c>
    </row>
    <row r="61" spans="1:65" s="171" customFormat="1" x14ac:dyDescent="0.3">
      <c r="A61" s="142" t="s">
        <v>361</v>
      </c>
      <c r="B61" s="142" t="s">
        <v>189</v>
      </c>
      <c r="C61" s="143" t="s">
        <v>189</v>
      </c>
      <c r="D61" s="144" t="s">
        <v>279</v>
      </c>
      <c r="E61" s="144" t="s">
        <v>281</v>
      </c>
      <c r="F61" s="142"/>
      <c r="G61" s="156">
        <f t="shared" si="7"/>
        <v>10478</v>
      </c>
      <c r="H61" s="142"/>
      <c r="I61" s="145">
        <v>8413</v>
      </c>
      <c r="J61" s="146">
        <v>6943</v>
      </c>
      <c r="K61" s="146">
        <v>6377</v>
      </c>
      <c r="L61" s="146">
        <v>10484</v>
      </c>
      <c r="M61" s="146">
        <v>2442</v>
      </c>
      <c r="N61" s="145">
        <v>9177</v>
      </c>
      <c r="O61" s="146">
        <v>13000</v>
      </c>
      <c r="P61" s="146">
        <v>18353</v>
      </c>
      <c r="Q61" s="91">
        <v>15499</v>
      </c>
      <c r="R61" s="146">
        <v>1505</v>
      </c>
      <c r="S61" s="146"/>
      <c r="T61" s="145">
        <v>8708</v>
      </c>
      <c r="U61" s="146">
        <v>2144</v>
      </c>
      <c r="V61" s="146">
        <v>0</v>
      </c>
      <c r="W61" s="146">
        <v>0</v>
      </c>
      <c r="X61" s="145">
        <v>8082</v>
      </c>
      <c r="Y61" s="146">
        <v>5727</v>
      </c>
      <c r="Z61" s="146">
        <v>0</v>
      </c>
      <c r="AA61" s="146">
        <v>0</v>
      </c>
      <c r="AB61" s="146"/>
      <c r="AC61" s="147">
        <f t="shared" si="8"/>
        <v>9221.2000000000007</v>
      </c>
      <c r="AD61" s="147">
        <f t="shared" si="9"/>
        <v>10047.799999999999</v>
      </c>
      <c r="AE61" s="147">
        <f>SUM(AC61*'Factors &amp; Percentages'!$E$27+AD61*'Factors &amp; Percentages'!$E$28)</f>
        <v>1511.8319415173132</v>
      </c>
      <c r="AF61" s="147"/>
      <c r="AG61" s="148">
        <v>0.17</v>
      </c>
      <c r="AH61" s="149">
        <f>AG61*'Factors &amp; Percentages'!$E$31</f>
        <v>2226.973835088434</v>
      </c>
      <c r="AI61" s="149"/>
      <c r="AJ61" s="149">
        <v>2517</v>
      </c>
      <c r="AK61" s="149">
        <f>AJ61*'Factors &amp; Percentages'!$E$34</f>
        <v>5266.4954401098466</v>
      </c>
      <c r="AL61" s="149"/>
      <c r="AM61" s="54">
        <v>3</v>
      </c>
      <c r="AN61" s="54">
        <v>11</v>
      </c>
      <c r="AO61" s="54">
        <v>19</v>
      </c>
      <c r="AP61" s="150">
        <v>9</v>
      </c>
      <c r="AQ61" s="91">
        <v>161</v>
      </c>
      <c r="AR61" s="91">
        <f t="shared" si="3"/>
        <v>161</v>
      </c>
      <c r="AS61" s="149">
        <f>AN61*'Factors &amp; Percentages'!$E$37+AP61*'Factors &amp; Percentages'!$E$38+AR61*'Factors &amp; Percentages'!$E$39</f>
        <v>1610.4078855228956</v>
      </c>
      <c r="AT61" s="149"/>
      <c r="AU61" s="149">
        <f t="shared" si="4"/>
        <v>10615.70910223849</v>
      </c>
      <c r="AV61" s="151">
        <f t="shared" si="10"/>
        <v>10615.70910223849</v>
      </c>
      <c r="AW61" s="152">
        <f>IF($BG61&gt;$AV61,$BG61*(1+'Factors &amp; Percentages'!$B$24),
IF($AU61&gt;$AV61,$AV61,
IF($AU61&gt;$BG61,$AU61,
$BG61*(1+'Factors &amp; Percentages'!$B$24))))</f>
        <v>10615.70910223849</v>
      </c>
      <c r="AX61" s="152">
        <v>10478</v>
      </c>
      <c r="AY61" s="151"/>
      <c r="BA61" s="110">
        <v>10192.020854955059</v>
      </c>
      <c r="BB61" s="152">
        <v>10557</v>
      </c>
      <c r="BC61" s="157">
        <v>5620</v>
      </c>
      <c r="BD61" s="158">
        <v>1793.7499999999998</v>
      </c>
      <c r="BE61" s="158">
        <v>1793.7499999999998</v>
      </c>
      <c r="BF61" s="151"/>
      <c r="BG61" s="109">
        <v>1950</v>
      </c>
      <c r="BH61" s="109">
        <v>1884</v>
      </c>
      <c r="BI61" s="153">
        <v>1883.7</v>
      </c>
      <c r="BJ61" s="154">
        <v>1794</v>
      </c>
      <c r="BK61" s="155">
        <v>1750</v>
      </c>
      <c r="BL61" s="155">
        <v>1750</v>
      </c>
      <c r="BM61" s="155">
        <v>1750</v>
      </c>
    </row>
    <row r="62" spans="1:65" x14ac:dyDescent="0.3">
      <c r="A62" s="121" t="s">
        <v>182</v>
      </c>
      <c r="B62" s="121" t="s">
        <v>182</v>
      </c>
      <c r="C62" s="174" t="s">
        <v>182</v>
      </c>
      <c r="D62" s="122" t="s">
        <v>295</v>
      </c>
      <c r="E62" s="173" t="s">
        <v>296</v>
      </c>
      <c r="F62" s="111"/>
      <c r="G62" s="185">
        <f t="shared" si="7"/>
        <v>14697.800000000001</v>
      </c>
      <c r="H62" s="186"/>
      <c r="I62" s="187">
        <v>22612</v>
      </c>
      <c r="J62" s="188">
        <v>22932</v>
      </c>
      <c r="K62" s="189">
        <v>19714</v>
      </c>
      <c r="L62" s="123">
        <v>19852</v>
      </c>
      <c r="M62" s="123">
        <v>18477</v>
      </c>
      <c r="N62" s="190">
        <v>4068</v>
      </c>
      <c r="O62" s="189">
        <v>3734</v>
      </c>
      <c r="P62" s="188">
        <v>2781</v>
      </c>
      <c r="Q62" s="208">
        <v>7178</v>
      </c>
      <c r="R62" s="123">
        <v>11148</v>
      </c>
      <c r="S62" s="188"/>
      <c r="T62" s="187">
        <v>94864</v>
      </c>
      <c r="U62" s="188">
        <v>92840</v>
      </c>
      <c r="V62" s="189">
        <v>99212</v>
      </c>
      <c r="W62" s="123">
        <v>99901</v>
      </c>
      <c r="X62" s="190">
        <v>2024</v>
      </c>
      <c r="Y62" s="189">
        <v>2907</v>
      </c>
      <c r="Z62" s="188">
        <v>0</v>
      </c>
      <c r="AA62" s="123">
        <v>11</v>
      </c>
      <c r="AB62" s="191"/>
      <c r="AC62" s="204">
        <f t="shared" si="8"/>
        <v>22814.400000000001</v>
      </c>
      <c r="AD62" s="205">
        <f t="shared" si="9"/>
        <v>13554.4</v>
      </c>
      <c r="AE62" s="204">
        <f>SUM(AC62*'Factors &amp; Percentages'!$E$27+AD62*'Factors &amp; Percentages'!$E$28)</f>
        <v>2980.9586449401149</v>
      </c>
      <c r="AF62" s="16"/>
      <c r="AG62" s="125">
        <v>0.33</v>
      </c>
      <c r="AH62" s="204">
        <f>AG62*'Factors &amp; Percentages'!$E$31</f>
        <v>4322.9492092893133</v>
      </c>
      <c r="AI62" s="18"/>
      <c r="AJ62" s="126">
        <v>3610</v>
      </c>
      <c r="AK62" s="204">
        <f>AJ62*'Factors &amp; Percentages'!$E$34</f>
        <v>7553.4559152946158</v>
      </c>
      <c r="AL62" s="18"/>
      <c r="AM62" s="124">
        <v>19</v>
      </c>
      <c r="AN62" s="211">
        <v>22</v>
      </c>
      <c r="AO62" s="124">
        <v>41</v>
      </c>
      <c r="AP62" s="212">
        <v>38</v>
      </c>
      <c r="AQ62" s="135">
        <v>1962</v>
      </c>
      <c r="AR62" s="179">
        <f t="shared" si="3"/>
        <v>1962</v>
      </c>
      <c r="AS62" s="205">
        <f>AN62*'Factors &amp; Percentages'!$E$37+AP62*'Factors &amp; Percentages'!$E$38+AR62*'Factors &amp; Percentages'!$E$39</f>
        <v>4024.6779033579123</v>
      </c>
      <c r="AT62" s="18"/>
      <c r="AU62" s="203">
        <f t="shared" si="4"/>
        <v>18882.041672881955</v>
      </c>
      <c r="AV62" s="213">
        <f t="shared" si="10"/>
        <v>14697.800000000001</v>
      </c>
      <c r="AW62" s="196">
        <f>IF($BG62&gt;$AV62,$BG62*(1+'Factors &amp; Percentages'!$B$24),
IF($AU62&gt;$AV62,$AV62,
IF($AU62&gt;$BG62,$AU62,
$BG62*(1+'Factors &amp; Percentages'!$B$24))))</f>
        <v>14697.800000000001</v>
      </c>
      <c r="AX62" s="185">
        <f t="shared" si="6"/>
        <v>14697.800000000001</v>
      </c>
      <c r="AY62" s="127"/>
      <c r="AZ62" s="27"/>
      <c r="BA62" s="223">
        <v>14905.800000000001</v>
      </c>
      <c r="BB62" s="185">
        <v>12814.1</v>
      </c>
      <c r="BC62" s="204">
        <v>15334</v>
      </c>
      <c r="BD62" s="218">
        <v>14604.199999999999</v>
      </c>
      <c r="BE62" s="224">
        <v>14247.499999999998</v>
      </c>
      <c r="BF62" s="219"/>
      <c r="BG62" s="221">
        <v>9000</v>
      </c>
      <c r="BH62" s="226">
        <v>9000</v>
      </c>
      <c r="BI62" s="220">
        <v>10000</v>
      </c>
      <c r="BJ62" s="227">
        <v>14604</v>
      </c>
      <c r="BK62" s="221">
        <v>14248</v>
      </c>
      <c r="BL62" s="128">
        <v>13900</v>
      </c>
      <c r="BM62" s="128">
        <v>13230</v>
      </c>
    </row>
    <row r="63" spans="1:65" x14ac:dyDescent="0.3">
      <c r="A63" s="111" t="s">
        <v>362</v>
      </c>
      <c r="B63" s="111" t="s">
        <v>199</v>
      </c>
      <c r="C63" s="112" t="s">
        <v>199</v>
      </c>
      <c r="D63" s="113" t="s">
        <v>279</v>
      </c>
      <c r="E63" s="113" t="s">
        <v>280</v>
      </c>
      <c r="F63" s="111"/>
      <c r="G63" s="46">
        <f t="shared" si="7"/>
        <v>43717.05</v>
      </c>
      <c r="H63" s="111"/>
      <c r="I63" s="114">
        <v>67257</v>
      </c>
      <c r="J63" s="47">
        <v>65234</v>
      </c>
      <c r="K63" s="47">
        <v>62855</v>
      </c>
      <c r="L63" s="47">
        <v>52896</v>
      </c>
      <c r="M63" s="47">
        <v>49731</v>
      </c>
      <c r="N63" s="114">
        <v>20509</v>
      </c>
      <c r="O63" s="47">
        <v>71942</v>
      </c>
      <c r="P63" s="47">
        <v>31769</v>
      </c>
      <c r="Q63" s="115">
        <v>25345</v>
      </c>
      <c r="R63" s="47">
        <v>3536</v>
      </c>
      <c r="S63" s="47"/>
      <c r="T63" s="114">
        <v>0</v>
      </c>
      <c r="U63" s="47">
        <v>0</v>
      </c>
      <c r="V63" s="47">
        <v>0</v>
      </c>
      <c r="W63" s="47">
        <v>45</v>
      </c>
      <c r="X63" s="114">
        <v>0</v>
      </c>
      <c r="Y63" s="47">
        <v>1119</v>
      </c>
      <c r="Z63" s="47">
        <v>0</v>
      </c>
      <c r="AA63" s="47">
        <v>65</v>
      </c>
      <c r="AB63" s="47"/>
      <c r="AC63" s="16">
        <f t="shared" si="8"/>
        <v>67257</v>
      </c>
      <c r="AD63" s="16">
        <f t="shared" si="9"/>
        <v>20509</v>
      </c>
      <c r="AE63" s="16">
        <f>SUM(AC63*'Factors &amp; Percentages'!$E$27+AD63*'Factors &amp; Percentages'!$E$28)</f>
        <v>7481.2279541491871</v>
      </c>
      <c r="AF63" s="16"/>
      <c r="AG63" s="101">
        <v>0.5</v>
      </c>
      <c r="AH63" s="18">
        <f>AG63*'Factors &amp; Percentages'!$E$31</f>
        <v>6549.9230443777469</v>
      </c>
      <c r="AI63" s="18"/>
      <c r="AJ63" s="18">
        <v>11337</v>
      </c>
      <c r="AK63" s="18">
        <f>AJ63*'Factors &amp; Percentages'!$E$34</f>
        <v>23721.199366120512</v>
      </c>
      <c r="AL63" s="18"/>
      <c r="AM63" s="30">
        <v>55</v>
      </c>
      <c r="AN63" s="30">
        <v>48</v>
      </c>
      <c r="AO63" s="159">
        <v>94</v>
      </c>
      <c r="AP63" s="116">
        <v>93</v>
      </c>
      <c r="AQ63" s="115">
        <v>7945</v>
      </c>
      <c r="AR63" s="115">
        <f t="shared" si="3"/>
        <v>7945</v>
      </c>
      <c r="AS63" s="18">
        <f>AN63*'Factors &amp; Percentages'!$E$37+AP63*'Factors &amp; Percentages'!$E$38+AR63*'Factors &amp; Percentages'!$E$39</f>
        <v>9765.9807622871649</v>
      </c>
      <c r="AT63" s="18"/>
      <c r="AU63" s="18">
        <f t="shared" si="4"/>
        <v>47518.331126934609</v>
      </c>
      <c r="AV63" s="69">
        <f t="shared" si="10"/>
        <v>43717.05</v>
      </c>
      <c r="AW63" s="46">
        <f>IF($BG63&gt;$AV63,$BG63*(1+'Factors &amp; Percentages'!$B$24),
IF($AU63&gt;$AV63,$AV63,
IF($AU63&gt;$BG63,$AU63,
$BG63*(1+'Factors &amp; Percentages'!$B$24))))</f>
        <v>43717.05</v>
      </c>
      <c r="AX63" s="46">
        <f t="shared" si="6"/>
        <v>43717.05</v>
      </c>
      <c r="AY63" s="69"/>
      <c r="AZ63" s="27"/>
      <c r="BA63" s="21">
        <v>47383.707948980562</v>
      </c>
      <c r="BB63" s="46">
        <v>44931.6</v>
      </c>
      <c r="BC63" s="119">
        <v>42792</v>
      </c>
      <c r="BD63" s="120">
        <v>40754</v>
      </c>
      <c r="BE63" s="120">
        <v>41057.425000000003</v>
      </c>
      <c r="BF63" s="69"/>
      <c r="BG63" s="73">
        <v>30000</v>
      </c>
      <c r="BH63" s="73">
        <v>44932</v>
      </c>
      <c r="BI63" s="117">
        <v>42792</v>
      </c>
      <c r="BJ63" s="118">
        <v>40754</v>
      </c>
      <c r="BK63" s="106">
        <v>41057</v>
      </c>
      <c r="BL63" s="106">
        <v>38175</v>
      </c>
      <c r="BM63" s="106">
        <v>37500</v>
      </c>
    </row>
    <row r="64" spans="1:65" x14ac:dyDescent="0.3">
      <c r="A64" s="121" t="s">
        <v>47</v>
      </c>
      <c r="B64" s="121" t="s">
        <v>47</v>
      </c>
      <c r="C64" s="174" t="s">
        <v>47</v>
      </c>
      <c r="D64" s="122" t="s">
        <v>279</v>
      </c>
      <c r="E64" s="173" t="s">
        <v>281</v>
      </c>
      <c r="F64" s="111"/>
      <c r="G64" s="185">
        <f t="shared" si="7"/>
        <v>7558.2</v>
      </c>
      <c r="H64" s="186"/>
      <c r="I64" s="187">
        <v>11628</v>
      </c>
      <c r="J64" s="188">
        <v>10578</v>
      </c>
      <c r="K64" s="189">
        <v>11584</v>
      </c>
      <c r="L64" s="123">
        <v>9275</v>
      </c>
      <c r="M64" s="123">
        <v>9536</v>
      </c>
      <c r="N64" s="190">
        <v>5005</v>
      </c>
      <c r="O64" s="189">
        <v>7826</v>
      </c>
      <c r="P64" s="188">
        <v>11170</v>
      </c>
      <c r="Q64" s="208">
        <v>15541</v>
      </c>
      <c r="R64" s="123">
        <v>6621</v>
      </c>
      <c r="S64" s="188"/>
      <c r="T64" s="187">
        <v>44396</v>
      </c>
      <c r="U64" s="188">
        <v>45341</v>
      </c>
      <c r="V64" s="189">
        <v>38969</v>
      </c>
      <c r="W64" s="123">
        <v>38498</v>
      </c>
      <c r="X64" s="190">
        <v>676</v>
      </c>
      <c r="Y64" s="189">
        <v>822</v>
      </c>
      <c r="Z64" s="188">
        <v>1093</v>
      </c>
      <c r="AA64" s="123">
        <v>1123</v>
      </c>
      <c r="AB64" s="191"/>
      <c r="AC64" s="204">
        <f t="shared" si="8"/>
        <v>11695.6</v>
      </c>
      <c r="AD64" s="205">
        <f t="shared" si="9"/>
        <v>9444.6</v>
      </c>
      <c r="AE64" s="204">
        <f>SUM(AC64*'Factors &amp; Percentages'!$E$27+AD64*'Factors &amp; Percentages'!$E$28)</f>
        <v>1695.852643192075</v>
      </c>
      <c r="AF64" s="16"/>
      <c r="AG64" s="125">
        <v>0.06</v>
      </c>
      <c r="AH64" s="204">
        <f>AG64*'Factors &amp; Percentages'!$E$31</f>
        <v>785.99076532532956</v>
      </c>
      <c r="AI64" s="18"/>
      <c r="AJ64" s="126">
        <v>8415</v>
      </c>
      <c r="AK64" s="204">
        <f>AJ64*'Factors &amp; Percentages'!$E$34</f>
        <v>17607.294051857116</v>
      </c>
      <c r="AL64" s="18"/>
      <c r="AM64" s="124">
        <v>14</v>
      </c>
      <c r="AN64" s="211">
        <v>12</v>
      </c>
      <c r="AO64" s="124">
        <v>19</v>
      </c>
      <c r="AP64" s="212">
        <v>22</v>
      </c>
      <c r="AQ64" s="135">
        <v>419</v>
      </c>
      <c r="AR64" s="179">
        <f t="shared" si="3"/>
        <v>419</v>
      </c>
      <c r="AS64" s="205">
        <f>AN64*'Factors &amp; Percentages'!$E$37+AP64*'Factors &amp; Percentages'!$E$38+AR64*'Factors &amp; Percentages'!$E$39</f>
        <v>2092.1507837826825</v>
      </c>
      <c r="AT64" s="18"/>
      <c r="AU64" s="203">
        <f t="shared" si="4"/>
        <v>22181.288244157204</v>
      </c>
      <c r="AV64" s="213">
        <f t="shared" si="10"/>
        <v>7558.2</v>
      </c>
      <c r="AW64" s="196">
        <f>IF($BG64&gt;$AV64,$BG64*(1+'Factors &amp; Percentages'!$B$24),
IF($AU64&gt;$AV64,$AV64,
IF($AU64&gt;$BG64,$AU64,
$BG64*(1+'Factors &amp; Percentages'!$B$24))))</f>
        <v>7558.2</v>
      </c>
      <c r="AX64" s="185">
        <f t="shared" si="6"/>
        <v>7558.2</v>
      </c>
      <c r="AY64" s="127"/>
      <c r="AZ64" s="27"/>
      <c r="BA64" s="223">
        <v>6875.7</v>
      </c>
      <c r="BB64" s="185">
        <v>10671.359999999999</v>
      </c>
      <c r="BC64" s="204">
        <v>7004</v>
      </c>
      <c r="BD64" s="218">
        <v>6662.4999999999991</v>
      </c>
      <c r="BE64" s="224">
        <v>8878.5</v>
      </c>
      <c r="BF64" s="219"/>
      <c r="BG64" s="221">
        <v>6864</v>
      </c>
      <c r="BH64" s="226">
        <v>6800</v>
      </c>
      <c r="BI64" s="220">
        <v>6704</v>
      </c>
      <c r="BJ64" s="227">
        <v>6670</v>
      </c>
      <c r="BK64" s="221">
        <v>6500</v>
      </c>
      <c r="BL64" s="128">
        <v>5284</v>
      </c>
      <c r="BM64" s="128">
        <v>5284</v>
      </c>
    </row>
    <row r="65" spans="1:65" x14ac:dyDescent="0.3">
      <c r="A65" s="111" t="s">
        <v>363</v>
      </c>
      <c r="B65" s="111" t="s">
        <v>126</v>
      </c>
      <c r="C65" s="112" t="s">
        <v>126</v>
      </c>
      <c r="D65" s="113" t="s">
        <v>302</v>
      </c>
      <c r="E65" s="113" t="s">
        <v>298</v>
      </c>
      <c r="F65" s="111"/>
      <c r="G65" s="46">
        <f t="shared" si="7"/>
        <v>11550</v>
      </c>
      <c r="H65" s="111"/>
      <c r="I65" s="114">
        <v>20219</v>
      </c>
      <c r="J65" s="47">
        <v>21177</v>
      </c>
      <c r="K65" s="47">
        <v>24212</v>
      </c>
      <c r="L65" s="47">
        <v>15930</v>
      </c>
      <c r="M65" s="47">
        <v>14937</v>
      </c>
      <c r="N65" s="114">
        <v>7556</v>
      </c>
      <c r="O65" s="47">
        <v>10930</v>
      </c>
      <c r="P65" s="47">
        <v>11329</v>
      </c>
      <c r="Q65" s="115">
        <v>5033</v>
      </c>
      <c r="R65" s="47">
        <v>5586</v>
      </c>
      <c r="S65" s="47"/>
      <c r="T65" s="114">
        <v>5354</v>
      </c>
      <c r="U65" s="47">
        <v>5085</v>
      </c>
      <c r="V65" s="47">
        <v>4927</v>
      </c>
      <c r="W65" s="47">
        <v>8291</v>
      </c>
      <c r="X65" s="114">
        <v>360</v>
      </c>
      <c r="Y65" s="47">
        <v>158</v>
      </c>
      <c r="Z65" s="47">
        <v>0</v>
      </c>
      <c r="AA65" s="47">
        <v>4</v>
      </c>
      <c r="AB65" s="47"/>
      <c r="AC65" s="16">
        <f t="shared" si="8"/>
        <v>20255</v>
      </c>
      <c r="AD65" s="16">
        <f t="shared" si="9"/>
        <v>8091.4</v>
      </c>
      <c r="AE65" s="16">
        <f>SUM(AC65*'Factors &amp; Percentages'!$E$27+AD65*'Factors &amp; Percentages'!$E$28)</f>
        <v>2381.683737360348</v>
      </c>
      <c r="AF65" s="16"/>
      <c r="AG65" s="101">
        <v>0.1</v>
      </c>
      <c r="AH65" s="18">
        <f>AG65*'Factors &amp; Percentages'!$E$31</f>
        <v>1309.9846088755494</v>
      </c>
      <c r="AI65" s="18"/>
      <c r="AJ65" s="18">
        <v>371</v>
      </c>
      <c r="AK65" s="18">
        <f>AJ65*'Factors &amp; Percentages'!$E$34</f>
        <v>776.26929212584548</v>
      </c>
      <c r="AL65" s="18"/>
      <c r="AM65" s="30">
        <v>16</v>
      </c>
      <c r="AN65" s="30">
        <v>21</v>
      </c>
      <c r="AO65" s="30">
        <v>40</v>
      </c>
      <c r="AP65" s="116">
        <v>38</v>
      </c>
      <c r="AQ65" s="115">
        <v>6783</v>
      </c>
      <c r="AR65" s="115">
        <f t="shared" si="3"/>
        <v>6783</v>
      </c>
      <c r="AS65" s="18">
        <f>AN65*'Factors &amp; Percentages'!$E$37+AP65*'Factors &amp; Percentages'!$E$38+AR65*'Factors &amp; Percentages'!$E$39</f>
        <v>4884.9029322405549</v>
      </c>
      <c r="AT65" s="18"/>
      <c r="AU65" s="18">
        <f t="shared" si="4"/>
        <v>9352.8405706022968</v>
      </c>
      <c r="AV65" s="69">
        <f t="shared" si="10"/>
        <v>9352.8405706022968</v>
      </c>
      <c r="AW65" s="46">
        <f>IF($BG65&gt;$AV65,$BG65*(1+'Factors &amp; Percentages'!$B$24),
IF($AU65&gt;$AV65,$AV65,
IF($AU65&gt;$BG65,$AU65,
$BG65*(1+'Factors &amp; Percentages'!$B$24))))</f>
        <v>11550</v>
      </c>
      <c r="AX65" s="46">
        <f t="shared" si="6"/>
        <v>11550</v>
      </c>
      <c r="AY65" s="69"/>
      <c r="AZ65" s="27"/>
      <c r="BA65" s="21">
        <v>11550</v>
      </c>
      <c r="BB65" s="46">
        <v>11340</v>
      </c>
      <c r="BC65" s="119">
        <v>11301</v>
      </c>
      <c r="BD65" s="120">
        <v>11032.074999999999</v>
      </c>
      <c r="BE65" s="120">
        <v>10762.499999999998</v>
      </c>
      <c r="BF65" s="69"/>
      <c r="BG65" s="73">
        <v>11000</v>
      </c>
      <c r="BH65" s="73">
        <v>11000</v>
      </c>
      <c r="BI65" s="117">
        <v>10800</v>
      </c>
      <c r="BJ65" s="118">
        <v>10763</v>
      </c>
      <c r="BK65" s="106">
        <v>10763</v>
      </c>
      <c r="BL65" s="106">
        <v>10500</v>
      </c>
      <c r="BM65" s="106">
        <v>10300</v>
      </c>
    </row>
    <row r="66" spans="1:65" x14ac:dyDescent="0.3">
      <c r="A66" s="121" t="s">
        <v>23</v>
      </c>
      <c r="B66" s="121" t="s">
        <v>23</v>
      </c>
      <c r="C66" s="174" t="s">
        <v>23</v>
      </c>
      <c r="D66" s="122" t="s">
        <v>279</v>
      </c>
      <c r="E66" s="173" t="s">
        <v>279</v>
      </c>
      <c r="F66" s="111"/>
      <c r="G66" s="185">
        <f t="shared" si="7"/>
        <v>7578.35</v>
      </c>
      <c r="H66" s="186"/>
      <c r="I66" s="187">
        <v>11659</v>
      </c>
      <c r="J66" s="188">
        <v>12922</v>
      </c>
      <c r="K66" s="189">
        <v>18788</v>
      </c>
      <c r="L66" s="123">
        <v>7018</v>
      </c>
      <c r="M66" s="123">
        <v>6021</v>
      </c>
      <c r="N66" s="190">
        <v>12789</v>
      </c>
      <c r="O66" s="189">
        <v>12645</v>
      </c>
      <c r="P66" s="188">
        <v>12937</v>
      </c>
      <c r="Q66" s="208">
        <v>4359</v>
      </c>
      <c r="R66" s="123">
        <v>3526</v>
      </c>
      <c r="S66" s="188"/>
      <c r="T66" s="187">
        <v>0</v>
      </c>
      <c r="U66" s="188">
        <v>173</v>
      </c>
      <c r="V66" s="189">
        <v>96713</v>
      </c>
      <c r="W66" s="123">
        <v>8289</v>
      </c>
      <c r="X66" s="190">
        <v>0</v>
      </c>
      <c r="Y66" s="189">
        <v>2155</v>
      </c>
      <c r="Z66" s="188">
        <v>4016</v>
      </c>
      <c r="AA66" s="123">
        <v>3540</v>
      </c>
      <c r="AB66" s="191"/>
      <c r="AC66" s="204">
        <f t="shared" si="8"/>
        <v>11659</v>
      </c>
      <c r="AD66" s="205">
        <f t="shared" si="9"/>
        <v>12789</v>
      </c>
      <c r="AE66" s="204">
        <f>SUM(AC66*'Factors &amp; Percentages'!$E$27+AD66*'Factors &amp; Percentages'!$E$28)</f>
        <v>1917.2154585604658</v>
      </c>
      <c r="AF66" s="16"/>
      <c r="AG66" s="125">
        <v>0.25</v>
      </c>
      <c r="AH66" s="204">
        <f>AG66*'Factors &amp; Percentages'!$E$31</f>
        <v>3274.9615221888735</v>
      </c>
      <c r="AI66" s="18"/>
      <c r="AJ66" s="126">
        <v>264</v>
      </c>
      <c r="AK66" s="204">
        <f>AJ66*'Factors &amp; Percentages'!$E$34</f>
        <v>552.38569574453697</v>
      </c>
      <c r="AL66" s="18"/>
      <c r="AM66" s="130">
        <v>11</v>
      </c>
      <c r="AN66" s="211">
        <v>9</v>
      </c>
      <c r="AO66" s="124">
        <v>27</v>
      </c>
      <c r="AP66" s="212">
        <v>27</v>
      </c>
      <c r="AQ66" s="135">
        <v>1092</v>
      </c>
      <c r="AR66" s="179">
        <f t="shared" si="3"/>
        <v>1092</v>
      </c>
      <c r="AS66" s="205">
        <f>AN66*'Factors &amp; Percentages'!$E$37+AP66*'Factors &amp; Percentages'!$E$38+AR66*'Factors &amp; Percentages'!$E$39</f>
        <v>1974.1409962867049</v>
      </c>
      <c r="AT66" s="18"/>
      <c r="AU66" s="203">
        <f t="shared" si="4"/>
        <v>7718.7036727805807</v>
      </c>
      <c r="AV66" s="213">
        <f t="shared" si="10"/>
        <v>7578.35</v>
      </c>
      <c r="AW66" s="196">
        <f>IF($BG66&gt;$AV66,$BG66*(1+'Factors &amp; Percentages'!$B$24),
IF($AU66&gt;$AV66,$AV66,
IF($AU66&gt;$BG66,$AU66,
$BG66*(1+'Factors &amp; Percentages'!$B$24))))</f>
        <v>7578.35</v>
      </c>
      <c r="AX66" s="185">
        <f t="shared" si="6"/>
        <v>7578.35</v>
      </c>
      <c r="AY66" s="127"/>
      <c r="AZ66" s="27"/>
      <c r="BA66" s="223">
        <v>7362.2595290292993</v>
      </c>
      <c r="BB66" s="185">
        <v>8137</v>
      </c>
      <c r="BC66" s="204">
        <v>4562</v>
      </c>
      <c r="BD66" s="218">
        <v>3913.65</v>
      </c>
      <c r="BE66" s="224">
        <v>8338.0008801351505</v>
      </c>
      <c r="BF66" s="219"/>
      <c r="BG66" s="221">
        <v>5000</v>
      </c>
      <c r="BH66" s="226">
        <v>3250</v>
      </c>
      <c r="BI66" s="220">
        <v>3000</v>
      </c>
      <c r="BJ66" s="227">
        <v>2500</v>
      </c>
      <c r="BK66" s="221">
        <v>3000</v>
      </c>
      <c r="BL66" s="128">
        <v>2536</v>
      </c>
      <c r="BM66" s="128">
        <v>2415</v>
      </c>
    </row>
    <row r="67" spans="1:65" x14ac:dyDescent="0.3">
      <c r="A67" s="111" t="s">
        <v>200</v>
      </c>
      <c r="B67" s="111" t="s">
        <v>200</v>
      </c>
      <c r="C67" s="112" t="s">
        <v>200</v>
      </c>
      <c r="D67" s="113" t="s">
        <v>279</v>
      </c>
      <c r="E67" s="113" t="s">
        <v>280</v>
      </c>
      <c r="F67" s="111"/>
      <c r="G67" s="46">
        <f t="shared" ref="G67:G88" si="11">+AX67</f>
        <v>21544.18604651163</v>
      </c>
      <c r="H67" s="111"/>
      <c r="I67" s="114">
        <v>23367</v>
      </c>
      <c r="J67" s="47">
        <v>24704</v>
      </c>
      <c r="K67" s="47">
        <v>18430</v>
      </c>
      <c r="L67" s="47">
        <v>20279</v>
      </c>
      <c r="M67" s="47">
        <v>15447</v>
      </c>
      <c r="N67" s="114">
        <v>50495</v>
      </c>
      <c r="O67" s="47">
        <v>59604</v>
      </c>
      <c r="P67" s="47">
        <v>46869</v>
      </c>
      <c r="Q67" s="115">
        <v>21355</v>
      </c>
      <c r="R67" s="47">
        <v>18229</v>
      </c>
      <c r="S67" s="47"/>
      <c r="T67" s="114">
        <v>0</v>
      </c>
      <c r="U67" s="47">
        <v>0</v>
      </c>
      <c r="V67" s="47">
        <v>0</v>
      </c>
      <c r="W67" s="47">
        <v>0</v>
      </c>
      <c r="X67" s="114">
        <v>0</v>
      </c>
      <c r="Y67" s="47">
        <v>0</v>
      </c>
      <c r="Z67" s="47">
        <v>0</v>
      </c>
      <c r="AA67" s="47">
        <v>0</v>
      </c>
      <c r="AB67" s="47"/>
      <c r="AC67" s="16">
        <f t="shared" ref="AC67:AC98" si="12">I67+X67*0.1</f>
        <v>23367</v>
      </c>
      <c r="AD67" s="16">
        <f t="shared" ref="AD67:AD98" si="13">N67+0.1*T67</f>
        <v>50495</v>
      </c>
      <c r="AE67" s="16">
        <f>SUM(AC67*'Factors &amp; Percentages'!$E$27+AD67*'Factors &amp; Percentages'!$E$28)</f>
        <v>5512.8565233801901</v>
      </c>
      <c r="AF67" s="16"/>
      <c r="AG67" s="101">
        <v>0.1</v>
      </c>
      <c r="AH67" s="18">
        <f>AG67*'Factors &amp; Percentages'!$E$31</f>
        <v>1309.9846088755494</v>
      </c>
      <c r="AI67" s="18"/>
      <c r="AJ67" s="18">
        <v>10516</v>
      </c>
      <c r="AK67" s="18">
        <f>AJ67*'Factors &amp; Percentages'!$E$34</f>
        <v>22003.363547157391</v>
      </c>
      <c r="AL67" s="18"/>
      <c r="AM67" s="30">
        <v>27</v>
      </c>
      <c r="AN67" s="30">
        <v>27</v>
      </c>
      <c r="AO67" s="137">
        <v>43</v>
      </c>
      <c r="AP67" s="116">
        <v>42</v>
      </c>
      <c r="AQ67" s="115">
        <v>282</v>
      </c>
      <c r="AR67" s="115">
        <f t="shared" ref="AR67:AR129" si="14">+AQ67</f>
        <v>282</v>
      </c>
      <c r="AS67" s="18">
        <f>AN67*'Factors &amp; Percentages'!$E$37+AP67*'Factors &amp; Percentages'!$E$38+AR67*'Factors &amp; Percentages'!$E$39</f>
        <v>4396.5487803636806</v>
      </c>
      <c r="AT67" s="18"/>
      <c r="AU67" s="18">
        <f t="shared" ref="AU67:AU130" si="15">AE67+AH67+AK67+AS67</f>
        <v>33222.75345977681</v>
      </c>
      <c r="AV67" s="69">
        <f t="shared" si="10"/>
        <v>33222.75345977681</v>
      </c>
      <c r="AW67" s="46">
        <f>IF($BG67&gt;$AV67,$BG67*(1+'Factors &amp; Percentages'!$B$24),
IF($AU67&gt;$AV67,$AV67,
IF($AU67&gt;$BG67,$AU67,
$BG67*(1+'Factors &amp; Percentages'!$B$24))))</f>
        <v>33222.75345977681</v>
      </c>
      <c r="AX67" s="46">
        <f t="shared" ref="AX67:AX129" si="16">MIN(AW67,+AG67*2*AY$2)</f>
        <v>21544.18604651163</v>
      </c>
      <c r="AY67" s="69"/>
      <c r="AZ67" s="27"/>
      <c r="BA67" s="21">
        <v>18806.073723386136</v>
      </c>
      <c r="BB67" s="46">
        <v>17785.600000000002</v>
      </c>
      <c r="BC67" s="119">
        <v>13181</v>
      </c>
      <c r="BD67" s="120">
        <v>10040.550000000001</v>
      </c>
      <c r="BE67" s="120">
        <v>15033.300000000001</v>
      </c>
      <c r="BF67" s="69"/>
      <c r="BG67" s="73">
        <v>15000</v>
      </c>
      <c r="BH67" s="73">
        <v>11604</v>
      </c>
      <c r="BI67" s="117">
        <v>10548</v>
      </c>
      <c r="BJ67" s="118">
        <v>10044</v>
      </c>
      <c r="BK67" s="106">
        <v>9288</v>
      </c>
      <c r="BL67" s="106">
        <v>8844</v>
      </c>
      <c r="BM67" s="106">
        <v>8412</v>
      </c>
    </row>
    <row r="68" spans="1:65" x14ac:dyDescent="0.3">
      <c r="A68" s="121" t="s">
        <v>146</v>
      </c>
      <c r="B68" s="121" t="s">
        <v>146</v>
      </c>
      <c r="C68" s="174" t="s">
        <v>146</v>
      </c>
      <c r="D68" s="122" t="s">
        <v>279</v>
      </c>
      <c r="E68" s="173" t="s">
        <v>145</v>
      </c>
      <c r="F68" s="111"/>
      <c r="G68" s="185">
        <f t="shared" si="11"/>
        <v>25730.555846746152</v>
      </c>
      <c r="H68" s="186"/>
      <c r="I68" s="187">
        <v>19648</v>
      </c>
      <c r="J68" s="188">
        <v>24114</v>
      </c>
      <c r="K68" s="189">
        <v>21685</v>
      </c>
      <c r="L68" s="123">
        <v>18821</v>
      </c>
      <c r="M68" s="123">
        <v>26772</v>
      </c>
      <c r="N68" s="190">
        <v>23201</v>
      </c>
      <c r="O68" s="189">
        <v>15667</v>
      </c>
      <c r="P68" s="188">
        <v>7645</v>
      </c>
      <c r="Q68" s="208">
        <v>16176</v>
      </c>
      <c r="R68" s="123">
        <v>13337</v>
      </c>
      <c r="S68" s="188"/>
      <c r="T68" s="187">
        <v>73006</v>
      </c>
      <c r="U68" s="188">
        <v>96181</v>
      </c>
      <c r="V68" s="189">
        <v>110490</v>
      </c>
      <c r="W68" s="123">
        <v>105331</v>
      </c>
      <c r="X68" s="190">
        <v>16680</v>
      </c>
      <c r="Y68" s="189">
        <v>13242</v>
      </c>
      <c r="Z68" s="188">
        <v>10660</v>
      </c>
      <c r="AA68" s="123">
        <v>10962</v>
      </c>
      <c r="AB68" s="191"/>
      <c r="AC68" s="204">
        <f t="shared" si="12"/>
        <v>21316</v>
      </c>
      <c r="AD68" s="205">
        <f t="shared" si="13"/>
        <v>30501.599999999999</v>
      </c>
      <c r="AE68" s="204">
        <f>SUM(AC68*'Factors &amp; Percentages'!$E$27+AD68*'Factors &amp; Percentages'!$E$28)</f>
        <v>3983.5332151859566</v>
      </c>
      <c r="AF68" s="16"/>
      <c r="AG68" s="125">
        <v>0.5</v>
      </c>
      <c r="AH68" s="204">
        <f>AG68*'Factors &amp; Percentages'!$E$31</f>
        <v>6549.9230443777469</v>
      </c>
      <c r="AI68" s="18"/>
      <c r="AJ68" s="126">
        <v>8728</v>
      </c>
      <c r="AK68" s="204">
        <f>AJ68*'Factors &amp; Percentages'!$E$34</f>
        <v>18262.205880523936</v>
      </c>
      <c r="AL68" s="18"/>
      <c r="AM68" s="124">
        <v>19</v>
      </c>
      <c r="AN68" s="211">
        <v>15</v>
      </c>
      <c r="AO68" s="124">
        <v>44</v>
      </c>
      <c r="AP68" s="212">
        <v>40</v>
      </c>
      <c r="AQ68" s="135">
        <v>654</v>
      </c>
      <c r="AR68" s="179">
        <f t="shared" si="14"/>
        <v>654</v>
      </c>
      <c r="AS68" s="205">
        <f>AN68*'Factors &amp; Percentages'!$E$37+AP68*'Factors &amp; Percentages'!$E$38+AR68*'Factors &amp; Percentages'!$E$39</f>
        <v>2934.8937066585117</v>
      </c>
      <c r="AT68" s="18"/>
      <c r="AU68" s="203">
        <f t="shared" si="15"/>
        <v>31730.555846746152</v>
      </c>
      <c r="AV68" s="213">
        <f t="shared" si="10"/>
        <v>31730.555846746152</v>
      </c>
      <c r="AW68" s="196">
        <f>IF($BG68&gt;$AV68,$BG68*(1+'Factors &amp; Percentages'!$B$24),
IF($AU68&gt;$AV68,$AV68,
IF($AU68&gt;$BG68,$AU68,
$BG68*(1+'Factors &amp; Percentages'!$B$24))))-6000</f>
        <v>25730.555846746152</v>
      </c>
      <c r="AX68" s="185">
        <f t="shared" si="16"/>
        <v>25730.555846746152</v>
      </c>
      <c r="AY68" s="127"/>
      <c r="AZ68" s="27"/>
      <c r="BA68" s="223">
        <v>24635.100000000002</v>
      </c>
      <c r="BB68" s="185">
        <v>23462.25</v>
      </c>
      <c r="BC68" s="204">
        <v>22345</v>
      </c>
      <c r="BD68" s="218">
        <v>21281.05</v>
      </c>
      <c r="BE68" s="224">
        <v>20762.399999999998</v>
      </c>
      <c r="BF68" s="219"/>
      <c r="BG68" s="221">
        <v>24635</v>
      </c>
      <c r="BH68" s="226">
        <v>23462</v>
      </c>
      <c r="BI68" s="220">
        <v>22345</v>
      </c>
      <c r="BJ68" s="227">
        <v>21281</v>
      </c>
      <c r="BK68" s="221">
        <v>20762</v>
      </c>
      <c r="BL68" s="128">
        <v>20256</v>
      </c>
      <c r="BM68" s="128">
        <v>19766</v>
      </c>
    </row>
    <row r="69" spans="1:65" x14ac:dyDescent="0.3">
      <c r="A69" s="111" t="s">
        <v>364</v>
      </c>
      <c r="B69" s="111" t="s">
        <v>364</v>
      </c>
      <c r="C69" s="112" t="s">
        <v>260</v>
      </c>
      <c r="D69" s="113" t="s">
        <v>279</v>
      </c>
      <c r="E69" s="113" t="s">
        <v>279</v>
      </c>
      <c r="F69" s="111"/>
      <c r="G69" s="46">
        <f t="shared" si="11"/>
        <v>23599.622739321047</v>
      </c>
      <c r="H69" s="111"/>
      <c r="I69" s="114">
        <v>20967</v>
      </c>
      <c r="J69" s="47">
        <v>14743</v>
      </c>
      <c r="K69" s="47">
        <v>19604</v>
      </c>
      <c r="L69" s="47">
        <v>18486</v>
      </c>
      <c r="M69" s="47">
        <v>15802</v>
      </c>
      <c r="N69" s="114">
        <v>36820</v>
      </c>
      <c r="O69" s="47">
        <v>36698</v>
      </c>
      <c r="P69" s="47">
        <v>19584</v>
      </c>
      <c r="Q69" s="115">
        <v>29329</v>
      </c>
      <c r="R69" s="47">
        <v>22842</v>
      </c>
      <c r="S69" s="47"/>
      <c r="T69" s="114">
        <v>8091</v>
      </c>
      <c r="U69" s="47">
        <v>9127</v>
      </c>
      <c r="V69" s="47">
        <v>10294</v>
      </c>
      <c r="W69" s="47">
        <v>100492</v>
      </c>
      <c r="X69" s="114">
        <v>0</v>
      </c>
      <c r="Y69" s="47">
        <v>0</v>
      </c>
      <c r="Z69" s="47">
        <v>368</v>
      </c>
      <c r="AA69" s="47">
        <v>0</v>
      </c>
      <c r="AB69" s="47"/>
      <c r="AC69" s="16">
        <f t="shared" si="12"/>
        <v>20967</v>
      </c>
      <c r="AD69" s="16">
        <f t="shared" si="13"/>
        <v>37629.1</v>
      </c>
      <c r="AE69" s="16">
        <f>SUM(AC69*'Factors &amp; Percentages'!$E$27+AD69*'Factors &amp; Percentages'!$E$28)</f>
        <v>4430.7035861646464</v>
      </c>
      <c r="AF69" s="16"/>
      <c r="AG69" s="101">
        <v>0.16500000000000001</v>
      </c>
      <c r="AH69" s="18">
        <f>AG69*'Factors &amp; Percentages'!$E$31</f>
        <v>2161.4746046446567</v>
      </c>
      <c r="AI69" s="18"/>
      <c r="AJ69" s="18">
        <v>6034</v>
      </c>
      <c r="AK69" s="18">
        <f>AJ69*'Factors &amp; Percentages'!$E$34</f>
        <v>12625.360939858092</v>
      </c>
      <c r="AL69" s="18"/>
      <c r="AM69" s="30">
        <v>12</v>
      </c>
      <c r="AN69" s="30">
        <v>26</v>
      </c>
      <c r="AO69" s="30">
        <v>46</v>
      </c>
      <c r="AP69" s="116">
        <v>33</v>
      </c>
      <c r="AQ69" s="115">
        <v>1853</v>
      </c>
      <c r="AR69" s="115">
        <f t="shared" si="14"/>
        <v>1853</v>
      </c>
      <c r="AS69" s="18">
        <f>AN69*'Factors &amp; Percentages'!$E$37+AP69*'Factors &amp; Percentages'!$E$38+AR69*'Factors &amp; Percentages'!$E$39</f>
        <v>4382.083608653651</v>
      </c>
      <c r="AT69" s="18"/>
      <c r="AU69" s="18">
        <f t="shared" si="15"/>
        <v>23599.622739321047</v>
      </c>
      <c r="AV69" s="69">
        <f t="shared" si="10"/>
        <v>23599.622739321047</v>
      </c>
      <c r="AW69" s="46">
        <f>IF($BG69&gt;$AV69,$BG69*(1+'Factors &amp; Percentages'!$B$24),
IF($AU69&gt;$AV69,$AV69,
IF($AU69&gt;$BG69,$AU69,
$BG69*(1+'Factors &amp; Percentages'!$B$24))))</f>
        <v>23599.622739321047</v>
      </c>
      <c r="AX69" s="46">
        <f t="shared" si="16"/>
        <v>23599.622739321047</v>
      </c>
      <c r="AY69" s="69"/>
      <c r="AZ69" s="27"/>
      <c r="BA69" s="21">
        <v>19731.826161906636</v>
      </c>
      <c r="BB69" s="46">
        <v>19256</v>
      </c>
      <c r="BC69" s="119">
        <v>12016</v>
      </c>
      <c r="BD69" s="120">
        <v>10271.300000000001</v>
      </c>
      <c r="BE69" s="89">
        <f>12340+3533</f>
        <v>15873</v>
      </c>
      <c r="BF69" s="69"/>
      <c r="BG69" s="73">
        <v>12000</v>
      </c>
      <c r="BH69" s="73">
        <v>10000</v>
      </c>
      <c r="BI69" s="117">
        <v>8000</v>
      </c>
      <c r="BJ69" s="118">
        <v>7476</v>
      </c>
      <c r="BK69" s="106">
        <v>7294.42</v>
      </c>
      <c r="BL69" s="106">
        <v>10091</v>
      </c>
      <c r="BM69" s="106">
        <v>13416</v>
      </c>
    </row>
    <row r="70" spans="1:65" x14ac:dyDescent="0.3">
      <c r="A70" s="121" t="s">
        <v>365</v>
      </c>
      <c r="B70" s="121" t="s">
        <v>365</v>
      </c>
      <c r="C70" s="174" t="s">
        <v>101</v>
      </c>
      <c r="D70" s="122" t="s">
        <v>295</v>
      </c>
      <c r="E70" s="173" t="s">
        <v>295</v>
      </c>
      <c r="F70" s="111"/>
      <c r="G70" s="185">
        <f t="shared" si="11"/>
        <v>11914.729027286296</v>
      </c>
      <c r="H70" s="186"/>
      <c r="I70" s="187">
        <v>6488</v>
      </c>
      <c r="J70" s="188">
        <v>6591</v>
      </c>
      <c r="K70" s="189">
        <v>7402</v>
      </c>
      <c r="L70" s="123">
        <v>5549</v>
      </c>
      <c r="M70" s="123">
        <v>6157</v>
      </c>
      <c r="N70" s="190">
        <v>9509</v>
      </c>
      <c r="O70" s="189">
        <v>26779</v>
      </c>
      <c r="P70" s="188">
        <v>18279</v>
      </c>
      <c r="Q70" s="208">
        <v>17762</v>
      </c>
      <c r="R70" s="123">
        <v>19736</v>
      </c>
      <c r="S70" s="188"/>
      <c r="T70" s="187">
        <v>34024</v>
      </c>
      <c r="U70" s="188">
        <v>18105</v>
      </c>
      <c r="V70" s="189">
        <v>13100</v>
      </c>
      <c r="W70" s="123">
        <v>13015</v>
      </c>
      <c r="X70" s="190">
        <v>234</v>
      </c>
      <c r="Y70" s="189">
        <v>301</v>
      </c>
      <c r="Z70" s="188">
        <v>0</v>
      </c>
      <c r="AA70" s="123">
        <v>70</v>
      </c>
      <c r="AB70" s="191"/>
      <c r="AC70" s="204">
        <f t="shared" si="12"/>
        <v>6511.4</v>
      </c>
      <c r="AD70" s="205">
        <f t="shared" si="13"/>
        <v>12911.4</v>
      </c>
      <c r="AE70" s="204">
        <f>SUM(AC70*'Factors &amp; Percentages'!$E$27+AD70*'Factors &amp; Percentages'!$E$28)</f>
        <v>1458.3079912099502</v>
      </c>
      <c r="AF70" s="16"/>
      <c r="AG70" s="125">
        <v>0.16500000000000001</v>
      </c>
      <c r="AH70" s="204">
        <f>AG70*'Factors &amp; Percentages'!$E$31</f>
        <v>2161.4746046446567</v>
      </c>
      <c r="AI70" s="18"/>
      <c r="AJ70" s="126">
        <v>3215</v>
      </c>
      <c r="AK70" s="204">
        <f>AJ70*'Factors &amp; Percentages'!$E$34</f>
        <v>6726.9697417374482</v>
      </c>
      <c r="AL70" s="18"/>
      <c r="AM70" s="124">
        <v>7</v>
      </c>
      <c r="AN70" s="211">
        <v>7</v>
      </c>
      <c r="AO70" s="124">
        <v>26</v>
      </c>
      <c r="AP70" s="212">
        <v>26</v>
      </c>
      <c r="AQ70" s="135">
        <v>881</v>
      </c>
      <c r="AR70" s="179">
        <f t="shared" si="14"/>
        <v>881</v>
      </c>
      <c r="AS70" s="205">
        <f>AN70*'Factors &amp; Percentages'!$E$37+AP70*'Factors &amp; Percentages'!$E$38+AR70*'Factors &amp; Percentages'!$E$39</f>
        <v>1659.1525862416279</v>
      </c>
      <c r="AT70" s="18"/>
      <c r="AU70" s="203">
        <f t="shared" si="15"/>
        <v>12005.904923833683</v>
      </c>
      <c r="AV70" s="213">
        <f t="shared" si="10"/>
        <v>12005.904923833683</v>
      </c>
      <c r="AW70" s="196">
        <f>IF($BG70&gt;$AV70,$BG70*(1+'Factors &amp; Percentages'!$B$24),
IF($AU70&gt;$AV70,$AV70,
IF($AU70&gt;$BG70,$AU70,
$BG70*(1+'Factors &amp; Percentages'!$B$24))))</f>
        <v>12005.904923833683</v>
      </c>
      <c r="AX70" s="185">
        <f>+BA70</f>
        <v>11914.729027286296</v>
      </c>
      <c r="AY70" s="127"/>
      <c r="AZ70" s="27"/>
      <c r="BA70" s="223">
        <v>11914.729027286296</v>
      </c>
      <c r="BB70" s="185">
        <v>10829</v>
      </c>
      <c r="BC70" s="204">
        <v>3607</v>
      </c>
      <c r="BD70" s="218">
        <v>4002.05</v>
      </c>
      <c r="BE70" s="224">
        <v>6409.1</v>
      </c>
      <c r="BF70" s="219"/>
      <c r="BG70" s="221">
        <v>2500</v>
      </c>
      <c r="BH70" s="226">
        <v>2100</v>
      </c>
      <c r="BI70" s="220">
        <v>2100</v>
      </c>
      <c r="BJ70" s="227">
        <v>2000</v>
      </c>
      <c r="BK70" s="221">
        <v>2000</v>
      </c>
      <c r="BL70" s="128">
        <v>1200</v>
      </c>
      <c r="BM70" s="128">
        <v>1150</v>
      </c>
    </row>
    <row r="71" spans="1:65" x14ac:dyDescent="0.3">
      <c r="A71" s="111" t="s">
        <v>24</v>
      </c>
      <c r="B71" s="111" t="s">
        <v>24</v>
      </c>
      <c r="C71" s="112" t="s">
        <v>24</v>
      </c>
      <c r="D71" s="113" t="s">
        <v>279</v>
      </c>
      <c r="E71" s="113" t="s">
        <v>279</v>
      </c>
      <c r="F71" s="111"/>
      <c r="G71" s="46">
        <f t="shared" si="11"/>
        <v>24581.198938077832</v>
      </c>
      <c r="H71" s="111"/>
      <c r="I71" s="114">
        <v>27794</v>
      </c>
      <c r="J71" s="47">
        <v>18286</v>
      </c>
      <c r="K71" s="47">
        <v>17649</v>
      </c>
      <c r="L71" s="47">
        <v>15786</v>
      </c>
      <c r="M71" s="47">
        <v>18246</v>
      </c>
      <c r="N71" s="114">
        <v>35941</v>
      </c>
      <c r="O71" s="47">
        <v>32748</v>
      </c>
      <c r="P71" s="47">
        <v>36804</v>
      </c>
      <c r="Q71" s="115">
        <v>26879</v>
      </c>
      <c r="R71" s="47">
        <v>27978</v>
      </c>
      <c r="S71" s="47"/>
      <c r="T71" s="114">
        <v>60000</v>
      </c>
      <c r="U71" s="47">
        <v>60000</v>
      </c>
      <c r="V71" s="47">
        <v>60000</v>
      </c>
      <c r="W71" s="47">
        <v>62690</v>
      </c>
      <c r="X71" s="114">
        <v>602</v>
      </c>
      <c r="Y71" s="47">
        <v>3394</v>
      </c>
      <c r="Z71" s="47">
        <v>4272</v>
      </c>
      <c r="AA71" s="47">
        <v>4069</v>
      </c>
      <c r="AB71" s="47"/>
      <c r="AC71" s="16">
        <f t="shared" si="12"/>
        <v>27854.2</v>
      </c>
      <c r="AD71" s="16">
        <f t="shared" si="13"/>
        <v>41941</v>
      </c>
      <c r="AE71" s="16">
        <f>SUM(AC71*'Factors &amp; Percentages'!$E$27+AD71*'Factors &amp; Percentages'!$E$28)</f>
        <v>5345.3810277290322</v>
      </c>
      <c r="AF71" s="16"/>
      <c r="AG71" s="101">
        <v>0.16500000000000001</v>
      </c>
      <c r="AH71" s="18">
        <f>AG71*'Factors &amp; Percentages'!$E$31</f>
        <v>2161.4746046446567</v>
      </c>
      <c r="AI71" s="18"/>
      <c r="AJ71" s="18">
        <v>6406</v>
      </c>
      <c r="AK71" s="18">
        <f>AJ71*'Factors &amp; Percentages'!$E$34</f>
        <v>13403.722602043576</v>
      </c>
      <c r="AL71" s="18"/>
      <c r="AM71" s="30">
        <v>25</v>
      </c>
      <c r="AN71" s="30">
        <v>20</v>
      </c>
      <c r="AO71" s="30">
        <v>33</v>
      </c>
      <c r="AP71" s="116">
        <v>33</v>
      </c>
      <c r="AQ71" s="115">
        <v>2019</v>
      </c>
      <c r="AR71" s="115">
        <f t="shared" si="14"/>
        <v>2019</v>
      </c>
      <c r="AS71" s="18">
        <f>AN71*'Factors &amp; Percentages'!$E$37+AP71*'Factors &amp; Percentages'!$E$38+AR71*'Factors &amp; Percentages'!$E$39</f>
        <v>3670.6207036605711</v>
      </c>
      <c r="AT71" s="18"/>
      <c r="AU71" s="18">
        <f t="shared" si="15"/>
        <v>24581.198938077832</v>
      </c>
      <c r="AV71" s="69">
        <f t="shared" si="10"/>
        <v>24581.198938077832</v>
      </c>
      <c r="AW71" s="46">
        <f>IF($BG71&gt;$AV71,$BG71*(1+'Factors &amp; Percentages'!$B$24),
IF($AU71&gt;$AV71,$AV71,
IF($AU71&gt;$BG71,$AU71,
$BG71*(1+'Factors &amp; Percentages'!$B$24))))</f>
        <v>24581.198938077832</v>
      </c>
      <c r="AX71" s="46">
        <f t="shared" si="16"/>
        <v>24581.198938077832</v>
      </c>
      <c r="AY71" s="69"/>
      <c r="AZ71" s="27"/>
      <c r="BA71" s="21">
        <v>22151.703343353998</v>
      </c>
      <c r="BB71" s="46">
        <v>21953</v>
      </c>
      <c r="BC71" s="119">
        <v>10261</v>
      </c>
      <c r="BD71" s="120">
        <v>11859.9</v>
      </c>
      <c r="BE71" s="120">
        <v>12661.4</v>
      </c>
      <c r="BF71" s="69"/>
      <c r="BG71" s="73">
        <v>10000</v>
      </c>
      <c r="BH71" s="73">
        <v>9384</v>
      </c>
      <c r="BI71" s="117">
        <v>9200</v>
      </c>
      <c r="BJ71" s="118">
        <v>8579</v>
      </c>
      <c r="BK71" s="106">
        <v>7500</v>
      </c>
      <c r="BL71" s="106">
        <v>8400</v>
      </c>
      <c r="BM71" s="106">
        <v>9404</v>
      </c>
    </row>
    <row r="72" spans="1:65" x14ac:dyDescent="0.3">
      <c r="A72" s="121" t="s">
        <v>48</v>
      </c>
      <c r="B72" s="121" t="s">
        <v>48</v>
      </c>
      <c r="C72" s="174" t="s">
        <v>48</v>
      </c>
      <c r="D72" s="122" t="s">
        <v>279</v>
      </c>
      <c r="E72" s="173" t="s">
        <v>281</v>
      </c>
      <c r="F72" s="111"/>
      <c r="G72" s="185">
        <f t="shared" si="11"/>
        <v>11039.017210734513</v>
      </c>
      <c r="H72" s="186"/>
      <c r="I72" s="187">
        <v>19010</v>
      </c>
      <c r="J72" s="188">
        <v>19672</v>
      </c>
      <c r="K72" s="189">
        <v>15557</v>
      </c>
      <c r="L72" s="123">
        <v>12329</v>
      </c>
      <c r="M72" s="123">
        <v>15641</v>
      </c>
      <c r="N72" s="190">
        <v>11247</v>
      </c>
      <c r="O72" s="189">
        <v>18131</v>
      </c>
      <c r="P72" s="188">
        <v>7963</v>
      </c>
      <c r="Q72" s="208">
        <v>6423</v>
      </c>
      <c r="R72" s="123">
        <v>9438</v>
      </c>
      <c r="S72" s="188"/>
      <c r="T72" s="187">
        <v>5450</v>
      </c>
      <c r="U72" s="188">
        <v>0</v>
      </c>
      <c r="V72" s="189">
        <v>0</v>
      </c>
      <c r="W72" s="123">
        <v>0</v>
      </c>
      <c r="X72" s="190">
        <v>0</v>
      </c>
      <c r="Y72" s="189">
        <v>482</v>
      </c>
      <c r="Z72" s="188">
        <v>0</v>
      </c>
      <c r="AA72" s="123">
        <v>0</v>
      </c>
      <c r="AB72" s="191"/>
      <c r="AC72" s="204">
        <f t="shared" si="12"/>
        <v>19010</v>
      </c>
      <c r="AD72" s="205">
        <f t="shared" si="13"/>
        <v>11792</v>
      </c>
      <c r="AE72" s="204">
        <f>SUM(AC72*'Factors &amp; Percentages'!$E$27+AD72*'Factors &amp; Percentages'!$E$28)</f>
        <v>2517.3178712001441</v>
      </c>
      <c r="AF72" s="16"/>
      <c r="AG72" s="125">
        <v>0.33</v>
      </c>
      <c r="AH72" s="204">
        <f>AG72*'Factors &amp; Percentages'!$E$31</f>
        <v>4322.9492092893133</v>
      </c>
      <c r="AI72" s="18"/>
      <c r="AJ72" s="126">
        <v>794</v>
      </c>
      <c r="AK72" s="204">
        <f>AJ72*'Factors &amp; Percentages'!$E$34</f>
        <v>1661.3418273528878</v>
      </c>
      <c r="AL72" s="18"/>
      <c r="AM72" s="124">
        <v>13</v>
      </c>
      <c r="AN72" s="211">
        <v>17</v>
      </c>
      <c r="AO72" s="124">
        <v>30</v>
      </c>
      <c r="AP72" s="212">
        <v>0</v>
      </c>
      <c r="AQ72" s="135">
        <v>2084</v>
      </c>
      <c r="AR72" s="179">
        <f t="shared" si="14"/>
        <v>2084</v>
      </c>
      <c r="AS72" s="205">
        <f>AN72*'Factors &amp; Percentages'!$E$37+AP72*'Factors &amp; Percentages'!$E$38+AR72*'Factors &amp; Percentages'!$E$39</f>
        <v>2537.4083028921691</v>
      </c>
      <c r="AT72" s="18"/>
      <c r="AU72" s="203">
        <f t="shared" si="15"/>
        <v>11039.017210734513</v>
      </c>
      <c r="AV72" s="213">
        <f t="shared" si="10"/>
        <v>11039.017210734513</v>
      </c>
      <c r="AW72" s="196">
        <f>IF($BG72&gt;$AV72,$BG72*(1+'Factors &amp; Percentages'!$B$24),
IF($AU72&gt;$AV72,$AV72,
IF($AU72&gt;$BG72,$AU72,
$BG72*(1+'Factors &amp; Percentages'!$B$24))))</f>
        <v>11039.017210734513</v>
      </c>
      <c r="AX72" s="185">
        <f t="shared" si="16"/>
        <v>11039.017210734513</v>
      </c>
      <c r="AY72" s="127"/>
      <c r="AZ72" s="27"/>
      <c r="BA72" s="223">
        <v>10692.299451949028</v>
      </c>
      <c r="BB72" s="185">
        <v>9726</v>
      </c>
      <c r="BC72" s="204">
        <v>8014</v>
      </c>
      <c r="BD72" s="218">
        <v>10166.65</v>
      </c>
      <c r="BE72" s="224">
        <v>12851.612798508573</v>
      </c>
      <c r="BF72" s="219"/>
      <c r="BG72" s="221">
        <v>2500</v>
      </c>
      <c r="BH72" s="226">
        <v>2500</v>
      </c>
      <c r="BI72" s="220">
        <v>3500</v>
      </c>
      <c r="BJ72" s="227">
        <v>7500</v>
      </c>
      <c r="BK72" s="221">
        <v>6500</v>
      </c>
      <c r="BL72" s="128">
        <v>9500</v>
      </c>
      <c r="BM72" s="128">
        <v>9500</v>
      </c>
    </row>
    <row r="73" spans="1:65" x14ac:dyDescent="0.3">
      <c r="A73" s="111" t="s">
        <v>366</v>
      </c>
      <c r="B73" s="111" t="s">
        <v>366</v>
      </c>
      <c r="C73" s="138" t="s">
        <v>62</v>
      </c>
      <c r="D73" s="113" t="s">
        <v>302</v>
      </c>
      <c r="E73" s="113" t="s">
        <v>299</v>
      </c>
      <c r="F73" s="111"/>
      <c r="G73" s="46">
        <f t="shared" si="11"/>
        <v>52087.748366604574</v>
      </c>
      <c r="H73" s="111"/>
      <c r="I73" s="114">
        <v>87344</v>
      </c>
      <c r="J73" s="47">
        <v>79862</v>
      </c>
      <c r="K73" s="47">
        <v>66054</v>
      </c>
      <c r="L73" s="47">
        <v>73172</v>
      </c>
      <c r="M73" s="47">
        <v>70180</v>
      </c>
      <c r="N73" s="114">
        <v>41485</v>
      </c>
      <c r="O73" s="47">
        <v>33137</v>
      </c>
      <c r="P73" s="47">
        <v>32987</v>
      </c>
      <c r="Q73" s="115">
        <v>33941</v>
      </c>
      <c r="R73" s="47">
        <v>27708</v>
      </c>
      <c r="S73" s="47"/>
      <c r="T73" s="114">
        <v>5832</v>
      </c>
      <c r="U73" s="47">
        <v>438771</v>
      </c>
      <c r="V73" s="47">
        <v>185171</v>
      </c>
      <c r="W73" s="47">
        <v>140226</v>
      </c>
      <c r="X73" s="114">
        <v>42520</v>
      </c>
      <c r="Y73" s="47">
        <v>33798</v>
      </c>
      <c r="Z73" s="47">
        <v>49925</v>
      </c>
      <c r="AA73" s="47">
        <v>127511</v>
      </c>
      <c r="AB73" s="47"/>
      <c r="AC73" s="16">
        <f t="shared" si="12"/>
        <v>91596</v>
      </c>
      <c r="AD73" s="16">
        <f t="shared" si="13"/>
        <v>42068.2</v>
      </c>
      <c r="AE73" s="16">
        <f>SUM(AC73*'Factors &amp; Percentages'!$E$27+AD73*'Factors &amp; Percentages'!$E$28)</f>
        <v>11138.319974850847</v>
      </c>
      <c r="AF73" s="16"/>
      <c r="AG73" s="101">
        <v>1</v>
      </c>
      <c r="AH73" s="18">
        <f>AG73*'Factors &amp; Percentages'!$E$31</f>
        <v>13099.846088755494</v>
      </c>
      <c r="AI73" s="18"/>
      <c r="AJ73" s="18">
        <v>6237</v>
      </c>
      <c r="AK73" s="18">
        <f>AJ73*'Factors &amp; Percentages'!$E$34</f>
        <v>13050.112061964686</v>
      </c>
      <c r="AL73" s="18"/>
      <c r="AM73" s="30">
        <v>80</v>
      </c>
      <c r="AN73" s="30">
        <v>82</v>
      </c>
      <c r="AO73" s="30">
        <v>120</v>
      </c>
      <c r="AP73" s="116">
        <v>119</v>
      </c>
      <c r="AQ73" s="115">
        <v>8925</v>
      </c>
      <c r="AR73" s="115">
        <f t="shared" si="14"/>
        <v>8925</v>
      </c>
      <c r="AS73" s="18">
        <f>AN73*'Factors &amp; Percentages'!$E$37+AP73*'Factors &amp; Percentages'!$E$38+AR73*'Factors &amp; Percentages'!$E$39</f>
        <v>14799.470241033549</v>
      </c>
      <c r="AT73" s="18"/>
      <c r="AU73" s="18">
        <f t="shared" si="15"/>
        <v>52087.748366604574</v>
      </c>
      <c r="AV73" s="69">
        <f t="shared" si="10"/>
        <v>52087.748366604574</v>
      </c>
      <c r="AW73" s="46">
        <f>IF($BG73&gt;$AV73,$BG73*(1+'Factors &amp; Percentages'!$B$24),
IF($AU73&gt;$AV73,$AV73,
IF($AU73&gt;$BG73,$AU73,
$BG73*(1+'Factors &amp; Percentages'!$B$24))))</f>
        <v>52087.748366604574</v>
      </c>
      <c r="AX73" s="46">
        <f t="shared" si="16"/>
        <v>52087.748366604574</v>
      </c>
      <c r="AY73" s="69"/>
      <c r="AZ73" s="27"/>
      <c r="BA73" s="21">
        <v>48931.358168477433</v>
      </c>
      <c r="BB73" s="46">
        <v>42935.1</v>
      </c>
      <c r="BC73" s="119">
        <v>47562</v>
      </c>
      <c r="BD73" s="120">
        <v>45617</v>
      </c>
      <c r="BE73" s="120">
        <v>46642</v>
      </c>
      <c r="BF73" s="69"/>
      <c r="BG73" s="73">
        <v>43000</v>
      </c>
      <c r="BH73" s="73">
        <v>42935</v>
      </c>
      <c r="BI73" s="117">
        <v>40000</v>
      </c>
      <c r="BJ73" s="118">
        <v>40500</v>
      </c>
      <c r="BK73" s="106">
        <v>38000</v>
      </c>
      <c r="BL73" s="106">
        <v>41000</v>
      </c>
      <c r="BM73" s="106">
        <v>41000</v>
      </c>
    </row>
    <row r="74" spans="1:65" x14ac:dyDescent="0.3">
      <c r="A74" s="121" t="s">
        <v>367</v>
      </c>
      <c r="B74" s="121" t="s">
        <v>127</v>
      </c>
      <c r="C74" s="174" t="s">
        <v>127</v>
      </c>
      <c r="D74" s="122" t="s">
        <v>302</v>
      </c>
      <c r="E74" s="173" t="s">
        <v>298</v>
      </c>
      <c r="F74" s="111"/>
      <c r="G74" s="185">
        <f t="shared" si="11"/>
        <v>6176.9712735403609</v>
      </c>
      <c r="H74" s="186"/>
      <c r="I74" s="187">
        <v>15897</v>
      </c>
      <c r="J74" s="188">
        <v>12494</v>
      </c>
      <c r="K74" s="189">
        <v>14262</v>
      </c>
      <c r="L74" s="123">
        <v>21035</v>
      </c>
      <c r="M74" s="123">
        <v>11080</v>
      </c>
      <c r="N74" s="190">
        <v>2876</v>
      </c>
      <c r="O74" s="189">
        <v>1769</v>
      </c>
      <c r="P74" s="188">
        <v>5214</v>
      </c>
      <c r="Q74" s="208">
        <v>5279</v>
      </c>
      <c r="R74" s="123">
        <v>5304</v>
      </c>
      <c r="S74" s="188"/>
      <c r="T74" s="187">
        <v>0</v>
      </c>
      <c r="U74" s="188">
        <v>2000</v>
      </c>
      <c r="V74" s="189">
        <v>1359</v>
      </c>
      <c r="W74" s="123">
        <v>0</v>
      </c>
      <c r="X74" s="190">
        <v>0</v>
      </c>
      <c r="Y74" s="189">
        <v>5500</v>
      </c>
      <c r="Z74" s="188">
        <v>1359</v>
      </c>
      <c r="AA74" s="123">
        <v>0</v>
      </c>
      <c r="AB74" s="191"/>
      <c r="AC74" s="204">
        <f t="shared" si="12"/>
        <v>15897</v>
      </c>
      <c r="AD74" s="205">
        <f t="shared" si="13"/>
        <v>2876</v>
      </c>
      <c r="AE74" s="204">
        <f>SUM(AC74*'Factors &amp; Percentages'!$E$27+AD74*'Factors &amp; Percentages'!$E$28)</f>
        <v>1635.8251310114565</v>
      </c>
      <c r="AF74" s="16"/>
      <c r="AG74" s="125">
        <v>0.1</v>
      </c>
      <c r="AH74" s="204">
        <f>AG74*'Factors &amp; Percentages'!$E$31</f>
        <v>1309.9846088755494</v>
      </c>
      <c r="AI74" s="18"/>
      <c r="AJ74" s="126">
        <v>56</v>
      </c>
      <c r="AK74" s="204">
        <f>AJ74*'Factors &amp; Percentages'!$E$34</f>
        <v>117.17272333975026</v>
      </c>
      <c r="AL74" s="18"/>
      <c r="AM74" s="124">
        <v>14</v>
      </c>
      <c r="AN74" s="211">
        <v>16</v>
      </c>
      <c r="AO74" s="124">
        <v>22</v>
      </c>
      <c r="AP74" s="212">
        <v>24</v>
      </c>
      <c r="AQ74" s="135">
        <v>2760</v>
      </c>
      <c r="AR74" s="179">
        <f t="shared" si="14"/>
        <v>2760</v>
      </c>
      <c r="AS74" s="205">
        <f>AN74*'Factors &amp; Percentages'!$E$37+AP74*'Factors &amp; Percentages'!$E$38+AR74*'Factors &amp; Percentages'!$E$39</f>
        <v>3113.9888103136045</v>
      </c>
      <c r="AT74" s="18"/>
      <c r="AU74" s="203">
        <f t="shared" si="15"/>
        <v>6176.9712735403609</v>
      </c>
      <c r="AV74" s="213">
        <f t="shared" si="10"/>
        <v>6176.9712735403609</v>
      </c>
      <c r="AW74" s="196">
        <f>IF($BG74&gt;$AV74,$BG74*(1+'Factors &amp; Percentages'!$B$24),
IF($AU74&gt;$AV74,$AV74,
IF($AU74&gt;$BG74,$AU74,
$BG74*(1+'Factors &amp; Percentages'!$B$24))))</f>
        <v>6176.9712735403609</v>
      </c>
      <c r="AX74" s="185">
        <f t="shared" si="16"/>
        <v>6176.9712735403609</v>
      </c>
      <c r="AY74" s="127"/>
      <c r="AZ74" s="27"/>
      <c r="BA74" s="223">
        <v>5109.6328305088264</v>
      </c>
      <c r="BB74" s="185">
        <v>5125</v>
      </c>
      <c r="BC74" s="204">
        <v>10218</v>
      </c>
      <c r="BD74" s="218">
        <v>8354.7749999999996</v>
      </c>
      <c r="BE74" s="224">
        <v>8150.5154392937338</v>
      </c>
      <c r="BF74" s="219"/>
      <c r="BG74" s="221">
        <v>4000</v>
      </c>
      <c r="BH74" s="226">
        <v>4400</v>
      </c>
      <c r="BI74" s="220">
        <v>3000</v>
      </c>
      <c r="BJ74" s="227">
        <v>8355</v>
      </c>
      <c r="BK74" s="221">
        <v>8151</v>
      </c>
      <c r="BL74" s="128">
        <v>7938</v>
      </c>
      <c r="BM74" s="128">
        <v>7560</v>
      </c>
    </row>
    <row r="75" spans="1:65" x14ac:dyDescent="0.3">
      <c r="A75" s="111" t="s">
        <v>368</v>
      </c>
      <c r="B75" s="111" t="s">
        <v>49</v>
      </c>
      <c r="C75" s="112" t="s">
        <v>49</v>
      </c>
      <c r="D75" s="113" t="s">
        <v>279</v>
      </c>
      <c r="E75" s="113" t="s">
        <v>281</v>
      </c>
      <c r="F75" s="111"/>
      <c r="G75" s="46">
        <f t="shared" si="11"/>
        <v>10374.980646689892</v>
      </c>
      <c r="H75" s="111"/>
      <c r="I75" s="114">
        <v>4158</v>
      </c>
      <c r="J75" s="47">
        <v>5963</v>
      </c>
      <c r="K75" s="47">
        <v>7281</v>
      </c>
      <c r="L75" s="47">
        <v>3836</v>
      </c>
      <c r="M75" s="47">
        <v>4054</v>
      </c>
      <c r="N75" s="114">
        <v>14085</v>
      </c>
      <c r="O75" s="47">
        <v>15011</v>
      </c>
      <c r="P75" s="47">
        <v>13150</v>
      </c>
      <c r="Q75" s="115">
        <v>9156</v>
      </c>
      <c r="R75" s="47">
        <v>8823</v>
      </c>
      <c r="S75" s="47"/>
      <c r="T75" s="114">
        <v>25033</v>
      </c>
      <c r="U75" s="47">
        <v>23761</v>
      </c>
      <c r="V75" s="47">
        <v>22970</v>
      </c>
      <c r="W75" s="47">
        <v>23054</v>
      </c>
      <c r="X75" s="114">
        <v>1272</v>
      </c>
      <c r="Y75" s="47">
        <v>661</v>
      </c>
      <c r="Z75" s="47">
        <v>365</v>
      </c>
      <c r="AA75" s="47">
        <v>89</v>
      </c>
      <c r="AB75" s="47"/>
      <c r="AC75" s="16">
        <f t="shared" si="12"/>
        <v>4285.2</v>
      </c>
      <c r="AD75" s="16">
        <f t="shared" si="13"/>
        <v>16588.3</v>
      </c>
      <c r="AE75" s="16">
        <f>SUM(AC75*'Factors &amp; Percentages'!$E$27+AD75*'Factors &amp; Percentages'!$E$28)</f>
        <v>1503.3087003199207</v>
      </c>
      <c r="AF75" s="16"/>
      <c r="AG75" s="101">
        <v>0.06</v>
      </c>
      <c r="AH75" s="18">
        <f>AG75*'Factors &amp; Percentages'!$E$31</f>
        <v>785.99076532532956</v>
      </c>
      <c r="AI75" s="18"/>
      <c r="AJ75" s="18">
        <v>3204</v>
      </c>
      <c r="AK75" s="18">
        <f>AJ75*'Factors &amp; Percentages'!$E$34</f>
        <v>6703.9536710814264</v>
      </c>
      <c r="AL75" s="18"/>
      <c r="AM75" s="30">
        <v>10</v>
      </c>
      <c r="AN75" s="30">
        <v>9</v>
      </c>
      <c r="AO75" s="30">
        <v>10</v>
      </c>
      <c r="AP75" s="116">
        <v>10</v>
      </c>
      <c r="AQ75" s="115">
        <v>143</v>
      </c>
      <c r="AR75" s="115">
        <f t="shared" si="14"/>
        <v>143</v>
      </c>
      <c r="AS75" s="18">
        <f>AN75*'Factors &amp; Percentages'!$E$37+AP75*'Factors &amp; Percentages'!$E$38+AR75*'Factors &amp; Percentages'!$E$39</f>
        <v>1381.7275099632161</v>
      </c>
      <c r="AT75" s="18"/>
      <c r="AU75" s="18">
        <f t="shared" si="15"/>
        <v>10374.980646689892</v>
      </c>
      <c r="AV75" s="69">
        <f t="shared" si="10"/>
        <v>10374.980646689892</v>
      </c>
      <c r="AW75" s="46">
        <f>IF($BG75&gt;$AV75,$BG75*(1+'Factors &amp; Percentages'!$B$24),
IF($AU75&gt;$AV75,$AV75,
IF($AU75&gt;$BG75,$AU75,
$BG75*(1+'Factors &amp; Percentages'!$B$24))))</f>
        <v>10374.980646689892</v>
      </c>
      <c r="AX75" s="46">
        <f t="shared" si="16"/>
        <v>10374.980646689892</v>
      </c>
      <c r="AY75" s="69"/>
      <c r="AZ75" s="27"/>
      <c r="BA75" s="21">
        <v>9829.8190064769915</v>
      </c>
      <c r="BB75" s="46">
        <v>10671.359999999999</v>
      </c>
      <c r="BC75" s="119">
        <v>2493</v>
      </c>
      <c r="BD75" s="120">
        <v>2635.1</v>
      </c>
      <c r="BE75" s="120">
        <v>2670.1</v>
      </c>
      <c r="BF75" s="69"/>
      <c r="BG75" s="73">
        <v>1700</v>
      </c>
      <c r="BH75" s="73">
        <v>1650</v>
      </c>
      <c r="BI75" s="117">
        <v>1540</v>
      </c>
      <c r="BJ75" s="118">
        <v>1450</v>
      </c>
      <c r="BK75" s="106">
        <v>1400</v>
      </c>
      <c r="BL75" s="106">
        <v>1400</v>
      </c>
      <c r="BM75" s="106">
        <v>1350</v>
      </c>
    </row>
    <row r="76" spans="1:65" x14ac:dyDescent="0.3">
      <c r="A76" s="121" t="s">
        <v>50</v>
      </c>
      <c r="B76" s="121" t="s">
        <v>50</v>
      </c>
      <c r="C76" s="174" t="s">
        <v>50</v>
      </c>
      <c r="D76" s="122" t="s">
        <v>279</v>
      </c>
      <c r="E76" s="173" t="s">
        <v>281</v>
      </c>
      <c r="F76" s="111"/>
      <c r="G76" s="185">
        <f t="shared" si="11"/>
        <v>32413.092602751</v>
      </c>
      <c r="H76" s="186"/>
      <c r="I76" s="187">
        <v>53550</v>
      </c>
      <c r="J76" s="188">
        <v>54635</v>
      </c>
      <c r="K76" s="189">
        <v>53818</v>
      </c>
      <c r="L76" s="123">
        <v>20543</v>
      </c>
      <c r="M76" s="123">
        <v>23237</v>
      </c>
      <c r="N76" s="190">
        <v>6742</v>
      </c>
      <c r="O76" s="189">
        <v>14286</v>
      </c>
      <c r="P76" s="188">
        <v>24033</v>
      </c>
      <c r="Q76" s="208">
        <v>57363</v>
      </c>
      <c r="R76" s="123">
        <v>75377</v>
      </c>
      <c r="S76" s="188"/>
      <c r="T76" s="187">
        <v>43994</v>
      </c>
      <c r="U76" s="188">
        <v>60252</v>
      </c>
      <c r="V76" s="189">
        <v>44497</v>
      </c>
      <c r="W76" s="123">
        <v>62172</v>
      </c>
      <c r="X76" s="190">
        <v>314</v>
      </c>
      <c r="Y76" s="189">
        <v>3807</v>
      </c>
      <c r="Z76" s="188">
        <v>4046</v>
      </c>
      <c r="AA76" s="123">
        <v>0</v>
      </c>
      <c r="AB76" s="191"/>
      <c r="AC76" s="204">
        <f t="shared" si="12"/>
        <v>53581.4</v>
      </c>
      <c r="AD76" s="205">
        <f t="shared" si="13"/>
        <v>11141.400000000001</v>
      </c>
      <c r="AE76" s="204">
        <f>SUM(AC76*'Factors &amp; Percentages'!$E$27+AD76*'Factors &amp; Percentages'!$E$28)</f>
        <v>5610.8687760576968</v>
      </c>
      <c r="AF76" s="16"/>
      <c r="AG76" s="125">
        <v>0.25</v>
      </c>
      <c r="AH76" s="204">
        <f>AG76*'Factors &amp; Percentages'!$E$31</f>
        <v>3274.9615221888735</v>
      </c>
      <c r="AI76" s="18"/>
      <c r="AJ76" s="126">
        <v>8913</v>
      </c>
      <c r="AK76" s="204">
        <f>AJ76*'Factors &amp; Percentages'!$E$34</f>
        <v>18649.294341557037</v>
      </c>
      <c r="AL76" s="18"/>
      <c r="AM76" s="124">
        <v>26</v>
      </c>
      <c r="AN76" s="211">
        <v>25</v>
      </c>
      <c r="AO76" s="124">
        <v>68</v>
      </c>
      <c r="AP76" s="212">
        <v>64</v>
      </c>
      <c r="AQ76" s="135">
        <v>1330</v>
      </c>
      <c r="AR76" s="179">
        <f t="shared" si="14"/>
        <v>1330</v>
      </c>
      <c r="AS76" s="205">
        <f>AN76*'Factors &amp; Percentages'!$E$37+AP76*'Factors &amp; Percentages'!$E$38+AR76*'Factors &amp; Percentages'!$E$39</f>
        <v>4877.9679629473912</v>
      </c>
      <c r="AT76" s="18"/>
      <c r="AU76" s="203">
        <f t="shared" si="15"/>
        <v>32413.092602751</v>
      </c>
      <c r="AV76" s="213">
        <f t="shared" si="10"/>
        <v>32413.092602751</v>
      </c>
      <c r="AW76" s="196">
        <f>IF($BG76&gt;$AV76,$BG76*(1+'Factors &amp; Percentages'!$B$24),
IF($AU76&gt;$AV76,$AV76,
IF($AU76&gt;$BG76,$AU76,
$BG76*(1+'Factors &amp; Percentages'!$B$24))))</f>
        <v>32413.092602751</v>
      </c>
      <c r="AX76" s="185">
        <f t="shared" si="16"/>
        <v>32413.092602751</v>
      </c>
      <c r="AY76" s="127"/>
      <c r="AZ76" s="27"/>
      <c r="BA76" s="223">
        <v>30612.754969727313</v>
      </c>
      <c r="BB76" s="185">
        <v>29670</v>
      </c>
      <c r="BC76" s="204">
        <v>19373</v>
      </c>
      <c r="BD76" s="218">
        <v>18450</v>
      </c>
      <c r="BE76" s="224">
        <v>19050.350000000002</v>
      </c>
      <c r="BF76" s="219"/>
      <c r="BG76" s="221">
        <v>16000</v>
      </c>
      <c r="BH76" s="226">
        <v>19500</v>
      </c>
      <c r="BI76" s="220">
        <v>19000</v>
      </c>
      <c r="BJ76" s="227">
        <v>18450</v>
      </c>
      <c r="BK76" s="221">
        <v>18000</v>
      </c>
      <c r="BL76" s="128">
        <v>16750</v>
      </c>
      <c r="BM76" s="128">
        <v>16275</v>
      </c>
    </row>
    <row r="77" spans="1:65" x14ac:dyDescent="0.3">
      <c r="A77" s="111" t="s">
        <v>124</v>
      </c>
      <c r="B77" s="111" t="s">
        <v>369</v>
      </c>
      <c r="C77" s="112" t="s">
        <v>124</v>
      </c>
      <c r="D77" s="113" t="s">
        <v>302</v>
      </c>
      <c r="E77" s="113" t="s">
        <v>298</v>
      </c>
      <c r="F77" s="111"/>
      <c r="G77" s="46">
        <f t="shared" si="11"/>
        <v>24406.43080486602</v>
      </c>
      <c r="H77" s="111"/>
      <c r="I77" s="114">
        <v>40144</v>
      </c>
      <c r="J77" s="47">
        <v>35121</v>
      </c>
      <c r="K77" s="47">
        <v>30145</v>
      </c>
      <c r="L77" s="47">
        <v>24472</v>
      </c>
      <c r="M77" s="47">
        <v>22943</v>
      </c>
      <c r="N77" s="114">
        <v>13477</v>
      </c>
      <c r="O77" s="47">
        <v>7767</v>
      </c>
      <c r="P77" s="47">
        <v>11124</v>
      </c>
      <c r="Q77" s="115">
        <v>10724</v>
      </c>
      <c r="R77" s="47">
        <v>12912</v>
      </c>
      <c r="S77" s="47"/>
      <c r="T77" s="114">
        <v>37477</v>
      </c>
      <c r="U77" s="47">
        <v>9157</v>
      </c>
      <c r="V77" s="47">
        <v>13759</v>
      </c>
      <c r="W77" s="47">
        <v>15695</v>
      </c>
      <c r="X77" s="114">
        <v>6087</v>
      </c>
      <c r="Y77" s="47">
        <v>19617</v>
      </c>
      <c r="Z77" s="47">
        <v>2343</v>
      </c>
      <c r="AA77" s="47">
        <v>617</v>
      </c>
      <c r="AB77" s="47"/>
      <c r="AC77" s="16">
        <f t="shared" si="12"/>
        <v>40752.699999999997</v>
      </c>
      <c r="AD77" s="16">
        <f t="shared" si="13"/>
        <v>17224.7</v>
      </c>
      <c r="AE77" s="16">
        <f>SUM(AC77*'Factors &amp; Percentages'!$E$27+AD77*'Factors &amp; Percentages'!$E$28)</f>
        <v>4855.3889723990878</v>
      </c>
      <c r="AF77" s="16"/>
      <c r="AG77" s="101">
        <v>1</v>
      </c>
      <c r="AH77" s="18">
        <f>AG77*'Factors &amp; Percentages'!$E$31</f>
        <v>13099.846088755494</v>
      </c>
      <c r="AI77" s="18"/>
      <c r="AJ77" s="18">
        <v>566</v>
      </c>
      <c r="AK77" s="18">
        <f>AJ77*'Factors &amp; Percentages'!$E$34</f>
        <v>1184.2814537553331</v>
      </c>
      <c r="AL77" s="18"/>
      <c r="AM77" s="30">
        <v>18</v>
      </c>
      <c r="AN77" s="30">
        <v>18</v>
      </c>
      <c r="AO77" s="30">
        <v>40</v>
      </c>
      <c r="AP77" s="116">
        <v>39</v>
      </c>
      <c r="AQ77" s="115">
        <v>10364</v>
      </c>
      <c r="AR77" s="115">
        <f t="shared" si="14"/>
        <v>10364</v>
      </c>
      <c r="AS77" s="18">
        <f>AN77*'Factors &amp; Percentages'!$E$37+AP77*'Factors &amp; Percentages'!$E$38+AR77*'Factors &amp; Percentages'!$E$39</f>
        <v>5266.9142899561093</v>
      </c>
      <c r="AT77" s="18"/>
      <c r="AU77" s="18">
        <f t="shared" si="15"/>
        <v>24406.43080486602</v>
      </c>
      <c r="AV77" s="69">
        <f t="shared" si="10"/>
        <v>24406.43080486602</v>
      </c>
      <c r="AW77" s="46">
        <f>IF($BG77&gt;$AV77,$BG77*(1+'Factors &amp; Percentages'!$B$24),
IF($AU77&gt;$AV77,$AV77,
IF($AU77&gt;$BG77,$AU77,
$BG77*(1+'Factors &amp; Percentages'!$B$24))))</f>
        <v>24406.43080486602</v>
      </c>
      <c r="AX77" s="46">
        <f t="shared" si="16"/>
        <v>24406.43080486602</v>
      </c>
      <c r="AY77" s="69"/>
      <c r="AZ77" s="27"/>
      <c r="BA77" s="21">
        <v>21401.82260851199</v>
      </c>
      <c r="BB77" s="46">
        <v>19594.25</v>
      </c>
      <c r="BC77" s="119">
        <v>15907</v>
      </c>
      <c r="BD77" s="120">
        <v>15374.999999999998</v>
      </c>
      <c r="BE77" s="120">
        <v>23589.975000000002</v>
      </c>
      <c r="BF77" s="69"/>
      <c r="BG77" s="73">
        <v>15000</v>
      </c>
      <c r="BH77" s="73">
        <v>10800</v>
      </c>
      <c r="BI77" s="117">
        <v>9825</v>
      </c>
      <c r="BJ77" s="118">
        <v>15375</v>
      </c>
      <c r="BK77" s="106">
        <v>15000</v>
      </c>
      <c r="BL77" s="106">
        <v>14333</v>
      </c>
      <c r="BM77" s="106">
        <v>13650</v>
      </c>
    </row>
    <row r="78" spans="1:65" x14ac:dyDescent="0.3">
      <c r="A78" s="121" t="s">
        <v>128</v>
      </c>
      <c r="B78" s="121" t="s">
        <v>128</v>
      </c>
      <c r="C78" s="174" t="s">
        <v>128</v>
      </c>
      <c r="D78" s="122" t="s">
        <v>302</v>
      </c>
      <c r="E78" s="173" t="s">
        <v>298</v>
      </c>
      <c r="F78" s="111"/>
      <c r="G78" s="185">
        <f t="shared" si="11"/>
        <v>19224.281593087901</v>
      </c>
      <c r="H78" s="186"/>
      <c r="I78" s="187">
        <v>35657</v>
      </c>
      <c r="J78" s="188">
        <v>34491</v>
      </c>
      <c r="K78" s="189">
        <v>26382</v>
      </c>
      <c r="L78" s="123">
        <v>22110</v>
      </c>
      <c r="M78" s="123">
        <v>26387</v>
      </c>
      <c r="N78" s="190">
        <v>13692</v>
      </c>
      <c r="O78" s="189">
        <v>10964</v>
      </c>
      <c r="P78" s="188">
        <v>16025</v>
      </c>
      <c r="Q78" s="208">
        <v>8680</v>
      </c>
      <c r="R78" s="123">
        <v>6255</v>
      </c>
      <c r="S78" s="188"/>
      <c r="T78" s="187">
        <v>96</v>
      </c>
      <c r="U78" s="188">
        <v>0</v>
      </c>
      <c r="V78" s="189">
        <v>93</v>
      </c>
      <c r="W78" s="123">
        <v>93</v>
      </c>
      <c r="X78" s="190">
        <v>0</v>
      </c>
      <c r="Y78" s="189">
        <v>0</v>
      </c>
      <c r="Z78" s="188">
        <v>450</v>
      </c>
      <c r="AA78" s="123">
        <v>0</v>
      </c>
      <c r="AB78" s="191"/>
      <c r="AC78" s="204">
        <f t="shared" si="12"/>
        <v>35657</v>
      </c>
      <c r="AD78" s="205">
        <f t="shared" si="13"/>
        <v>13701.6</v>
      </c>
      <c r="AE78" s="204">
        <f>SUM(AC78*'Factors &amp; Percentages'!$E$27+AD78*'Factors &amp; Percentages'!$E$28)</f>
        <v>4156.2785608897657</v>
      </c>
      <c r="AF78" s="16"/>
      <c r="AG78" s="125">
        <v>0.5</v>
      </c>
      <c r="AH78" s="204">
        <f>AG78*'Factors &amp; Percentages'!$E$31</f>
        <v>6549.9230443777469</v>
      </c>
      <c r="AI78" s="18"/>
      <c r="AJ78" s="126">
        <v>1302</v>
      </c>
      <c r="AK78" s="204">
        <f>AJ78*'Factors &amp; Percentages'!$E$34</f>
        <v>2724.2658176491937</v>
      </c>
      <c r="AL78" s="18"/>
      <c r="AM78" s="124">
        <v>23</v>
      </c>
      <c r="AN78" s="211">
        <v>24</v>
      </c>
      <c r="AO78" s="124">
        <v>39</v>
      </c>
      <c r="AP78" s="212">
        <v>38</v>
      </c>
      <c r="AQ78" s="135">
        <v>9409</v>
      </c>
      <c r="AR78" s="179">
        <f t="shared" si="14"/>
        <v>9409</v>
      </c>
      <c r="AS78" s="205">
        <f>AN78*'Factors &amp; Percentages'!$E$37+AP78*'Factors &amp; Percentages'!$E$38+AR78*'Factors &amp; Percentages'!$E$39</f>
        <v>5793.8141701711947</v>
      </c>
      <c r="AT78" s="18"/>
      <c r="AU78" s="203">
        <f t="shared" si="15"/>
        <v>19224.281593087901</v>
      </c>
      <c r="AV78" s="213">
        <f t="shared" si="10"/>
        <v>19224.281593087901</v>
      </c>
      <c r="AW78" s="196">
        <f>IF($BG78&gt;$AV78,$BG78*(1+'Factors &amp; Percentages'!$B$24),
IF($AU78&gt;$AV78,$AV78,
IF($AU78&gt;$BG78,$AU78,
$BG78*(1+'Factors &amp; Percentages'!$B$24))))</f>
        <v>19224.281593087901</v>
      </c>
      <c r="AX78" s="185">
        <f t="shared" si="16"/>
        <v>19224.281593087901</v>
      </c>
      <c r="AY78" s="127"/>
      <c r="AZ78" s="27"/>
      <c r="BA78" s="223">
        <v>17225.924464401967</v>
      </c>
      <c r="BB78" s="185">
        <v>15982</v>
      </c>
      <c r="BC78" s="204">
        <v>15750</v>
      </c>
      <c r="BD78" s="218">
        <v>17151.55</v>
      </c>
      <c r="BE78" s="224">
        <v>17989</v>
      </c>
      <c r="BF78" s="219"/>
      <c r="BG78" s="221">
        <v>16000</v>
      </c>
      <c r="BH78" s="226">
        <v>16000</v>
      </c>
      <c r="BI78" s="220">
        <v>15750</v>
      </c>
      <c r="BJ78" s="227">
        <v>15000</v>
      </c>
      <c r="BK78" s="221">
        <v>13218</v>
      </c>
      <c r="BL78" s="128">
        <v>17550</v>
      </c>
      <c r="BM78" s="128">
        <v>16741</v>
      </c>
    </row>
    <row r="79" spans="1:65" x14ac:dyDescent="0.3">
      <c r="A79" s="111" t="s">
        <v>370</v>
      </c>
      <c r="B79" s="111" t="s">
        <v>371</v>
      </c>
      <c r="C79" s="112" t="s">
        <v>129</v>
      </c>
      <c r="D79" s="113" t="s">
        <v>302</v>
      </c>
      <c r="E79" s="113" t="s">
        <v>298</v>
      </c>
      <c r="F79" s="111"/>
      <c r="G79" s="46">
        <f t="shared" si="11"/>
        <v>74864.381230370534</v>
      </c>
      <c r="H79" s="111"/>
      <c r="I79" s="114">
        <v>350557</v>
      </c>
      <c r="J79" s="47">
        <v>306037</v>
      </c>
      <c r="K79" s="47">
        <v>232782</v>
      </c>
      <c r="L79" s="47">
        <v>229407</v>
      </c>
      <c r="M79" s="47">
        <v>152513</v>
      </c>
      <c r="N79" s="114">
        <v>-1680</v>
      </c>
      <c r="O79" s="47">
        <v>25152</v>
      </c>
      <c r="P79" s="47">
        <v>21200</v>
      </c>
      <c r="Q79" s="115">
        <v>27934</v>
      </c>
      <c r="R79" s="47">
        <v>97172</v>
      </c>
      <c r="S79" s="47"/>
      <c r="T79" s="114">
        <v>110008</v>
      </c>
      <c r="U79" s="47">
        <v>97337</v>
      </c>
      <c r="V79" s="47">
        <v>78170</v>
      </c>
      <c r="W79" s="47">
        <v>82319</v>
      </c>
      <c r="X79" s="114">
        <v>78088</v>
      </c>
      <c r="Y79" s="47">
        <v>4132</v>
      </c>
      <c r="Z79" s="47">
        <v>7219</v>
      </c>
      <c r="AA79" s="47">
        <v>146723</v>
      </c>
      <c r="AB79" s="47"/>
      <c r="AC79" s="16">
        <f t="shared" si="12"/>
        <v>358365.8</v>
      </c>
      <c r="AD79" s="16">
        <f t="shared" si="13"/>
        <v>9320.8000000000011</v>
      </c>
      <c r="AE79" s="16">
        <f>SUM(AC79*'Factors &amp; Percentages'!$E$27+AD79*'Factors &amp; Percentages'!$E$28)</f>
        <v>33146.904482756268</v>
      </c>
      <c r="AF79" s="16"/>
      <c r="AG79" s="101">
        <v>1</v>
      </c>
      <c r="AH79" s="18">
        <f>AG79*'Factors &amp; Percentages'!$E$31</f>
        <v>13099.846088755494</v>
      </c>
      <c r="AI79" s="18"/>
      <c r="AJ79" s="18">
        <v>551</v>
      </c>
      <c r="AK79" s="18">
        <f>AJ79*'Factors &amp; Percentages'!$E$34</f>
        <v>1152.8959028607571</v>
      </c>
      <c r="AL79" s="18"/>
      <c r="AM79" s="30">
        <v>160</v>
      </c>
      <c r="AN79" s="30">
        <v>200</v>
      </c>
      <c r="AO79" s="30">
        <v>73</v>
      </c>
      <c r="AP79" s="116">
        <v>62</v>
      </c>
      <c r="AQ79" s="115">
        <v>5708</v>
      </c>
      <c r="AR79" s="115">
        <f t="shared" si="14"/>
        <v>5708</v>
      </c>
      <c r="AS79" s="18">
        <f>AN79*'Factors &amp; Percentages'!$E$37+AP79*'Factors &amp; Percentages'!$E$38+AR79*'Factors &amp; Percentages'!$E$39</f>
        <v>27464.734755998019</v>
      </c>
      <c r="AT79" s="18"/>
      <c r="AU79" s="18">
        <f t="shared" si="15"/>
        <v>74864.381230370534</v>
      </c>
      <c r="AV79" s="69">
        <f t="shared" si="10"/>
        <v>74864.381230370534</v>
      </c>
      <c r="AW79" s="46">
        <f>IF($BG79&gt;$AV79,$BG79*(1+'Factors &amp; Percentages'!$B$24),
IF($AU79&gt;$AV79,$AV79,
IF($AU79&gt;$BG79,$AU79,
$BG79*(1+'Factors &amp; Percentages'!$B$24))))</f>
        <v>74864.381230370534</v>
      </c>
      <c r="AX79" s="46">
        <f t="shared" si="16"/>
        <v>74864.381230370534</v>
      </c>
      <c r="AY79" s="69"/>
      <c r="AZ79" s="27"/>
      <c r="BA79" s="21">
        <v>62187.498555681894</v>
      </c>
      <c r="BB79" s="46">
        <v>49559</v>
      </c>
      <c r="BC79" s="119">
        <v>66585</v>
      </c>
      <c r="BD79" s="120">
        <v>53891.084812825546</v>
      </c>
      <c r="BE79" s="120">
        <v>47474.757111762701</v>
      </c>
      <c r="BF79" s="69"/>
      <c r="BG79" s="73">
        <v>45000</v>
      </c>
      <c r="BH79" s="73">
        <v>42000</v>
      </c>
      <c r="BI79" s="117">
        <v>40000</v>
      </c>
      <c r="BJ79" s="118">
        <v>38654</v>
      </c>
      <c r="BK79" s="106">
        <v>20000</v>
      </c>
      <c r="BL79" s="106">
        <v>14400</v>
      </c>
      <c r="BM79" s="106">
        <v>12000</v>
      </c>
    </row>
    <row r="80" spans="1:65" x14ac:dyDescent="0.3">
      <c r="A80" s="121" t="s">
        <v>372</v>
      </c>
      <c r="B80" s="121" t="s">
        <v>373</v>
      </c>
      <c r="C80" s="174" t="s">
        <v>130</v>
      </c>
      <c r="D80" s="122" t="s">
        <v>302</v>
      </c>
      <c r="E80" s="173" t="s">
        <v>298</v>
      </c>
      <c r="F80" s="111"/>
      <c r="G80" s="185">
        <f t="shared" si="11"/>
        <v>32672.25</v>
      </c>
      <c r="H80" s="186"/>
      <c r="I80" s="187">
        <v>50265</v>
      </c>
      <c r="J80" s="188">
        <v>45400</v>
      </c>
      <c r="K80" s="189">
        <v>38388</v>
      </c>
      <c r="L80" s="123">
        <v>34570</v>
      </c>
      <c r="M80" s="123">
        <v>47900</v>
      </c>
      <c r="N80" s="190">
        <v>12408</v>
      </c>
      <c r="O80" s="189">
        <v>12194</v>
      </c>
      <c r="P80" s="188">
        <v>11157</v>
      </c>
      <c r="Q80" s="208">
        <v>12183</v>
      </c>
      <c r="R80" s="123">
        <v>12477</v>
      </c>
      <c r="S80" s="188"/>
      <c r="T80" s="187">
        <v>21971</v>
      </c>
      <c r="U80" s="188">
        <v>12103</v>
      </c>
      <c r="V80" s="189">
        <v>20016</v>
      </c>
      <c r="W80" s="123">
        <v>28631</v>
      </c>
      <c r="X80" s="190">
        <v>8274</v>
      </c>
      <c r="Y80" s="189">
        <v>9527</v>
      </c>
      <c r="Z80" s="188">
        <v>7086</v>
      </c>
      <c r="AA80" s="123">
        <v>17053</v>
      </c>
      <c r="AB80" s="191"/>
      <c r="AC80" s="204">
        <f t="shared" si="12"/>
        <v>51092.4</v>
      </c>
      <c r="AD80" s="205">
        <f t="shared" si="13"/>
        <v>14605.1</v>
      </c>
      <c r="AE80" s="204">
        <f>SUM(AC80*'Factors &amp; Percentages'!$E$27+AD80*'Factors &amp; Percentages'!$E$28)</f>
        <v>5617.6978605768363</v>
      </c>
      <c r="AF80" s="16"/>
      <c r="AG80" s="125">
        <v>1</v>
      </c>
      <c r="AH80" s="204">
        <f>AG80*'Factors &amp; Percentages'!$E$31</f>
        <v>13099.846088755494</v>
      </c>
      <c r="AI80" s="18"/>
      <c r="AJ80" s="126">
        <v>9493</v>
      </c>
      <c r="AK80" s="204">
        <f>AJ80*'Factors &amp; Percentages'!$E$34</f>
        <v>19862.868976147307</v>
      </c>
      <c r="AL80" s="18"/>
      <c r="AM80" s="124">
        <v>25</v>
      </c>
      <c r="AN80" s="211">
        <v>26</v>
      </c>
      <c r="AO80" s="124">
        <v>86</v>
      </c>
      <c r="AP80" s="212">
        <v>0</v>
      </c>
      <c r="AQ80" s="135">
        <v>5260</v>
      </c>
      <c r="AR80" s="179">
        <f t="shared" si="14"/>
        <v>5260</v>
      </c>
      <c r="AS80" s="205">
        <f>AN80*'Factors &amp; Percentages'!$E$37+AP80*'Factors &amp; Percentages'!$E$38+AR80*'Factors &amp; Percentages'!$E$39</f>
        <v>4303.9901705744032</v>
      </c>
      <c r="AT80" s="18"/>
      <c r="AU80" s="203">
        <f t="shared" si="15"/>
        <v>42884.40309605404</v>
      </c>
      <c r="AV80" s="213">
        <f t="shared" si="10"/>
        <v>32672.25</v>
      </c>
      <c r="AW80" s="196">
        <f>IF($BG80&gt;$AV80,$BG80*(1+'Factors &amp; Percentages'!$B$24),
IF($AU80&gt;$AV80,$AV80,
IF($AU80&gt;$BG80,$AU80,
$BG80*(1+'Factors &amp; Percentages'!$B$24))))</f>
        <v>32672.25</v>
      </c>
      <c r="AX80" s="185">
        <f t="shared" si="16"/>
        <v>32672.25</v>
      </c>
      <c r="AY80" s="127"/>
      <c r="AZ80" s="27"/>
      <c r="BA80" s="223">
        <v>29510</v>
      </c>
      <c r="BB80" s="185">
        <v>24952.2</v>
      </c>
      <c r="BC80" s="204">
        <v>32692</v>
      </c>
      <c r="BD80" s="218">
        <v>31135</v>
      </c>
      <c r="BE80" s="224">
        <v>44233.874999999993</v>
      </c>
      <c r="BF80" s="219"/>
      <c r="BG80" s="221">
        <v>22550</v>
      </c>
      <c r="BH80" s="226">
        <v>20500</v>
      </c>
      <c r="BI80" s="220">
        <v>20000</v>
      </c>
      <c r="BJ80" s="227">
        <v>31135</v>
      </c>
      <c r="BK80" s="221">
        <v>30500</v>
      </c>
      <c r="BL80" s="128">
        <v>43155</v>
      </c>
      <c r="BM80" s="128">
        <v>45616</v>
      </c>
    </row>
    <row r="81" spans="1:65" x14ac:dyDescent="0.3">
      <c r="A81" s="111" t="s">
        <v>374</v>
      </c>
      <c r="B81" s="111" t="s">
        <v>375</v>
      </c>
      <c r="C81" s="112" t="s">
        <v>218</v>
      </c>
      <c r="D81" s="113" t="s">
        <v>302</v>
      </c>
      <c r="E81" s="113" t="s">
        <v>303</v>
      </c>
      <c r="F81" s="111"/>
      <c r="G81" s="46">
        <f t="shared" si="11"/>
        <v>28332.15</v>
      </c>
      <c r="H81" s="111"/>
      <c r="I81" s="114">
        <v>37244</v>
      </c>
      <c r="J81" s="47">
        <v>34416</v>
      </c>
      <c r="K81" s="47">
        <v>45436</v>
      </c>
      <c r="L81" s="47">
        <v>37652</v>
      </c>
      <c r="M81" s="47">
        <v>28162</v>
      </c>
      <c r="N81" s="114">
        <v>30388</v>
      </c>
      <c r="O81" s="47">
        <v>35757</v>
      </c>
      <c r="P81" s="47">
        <v>32540</v>
      </c>
      <c r="Q81" s="115">
        <v>27074</v>
      </c>
      <c r="R81" s="47">
        <v>20697</v>
      </c>
      <c r="S81" s="47"/>
      <c r="T81" s="114">
        <v>74895</v>
      </c>
      <c r="U81" s="47">
        <v>74895</v>
      </c>
      <c r="V81" s="47">
        <v>71751</v>
      </c>
      <c r="W81" s="47">
        <v>73359</v>
      </c>
      <c r="X81" s="114">
        <v>0</v>
      </c>
      <c r="Y81" s="47">
        <v>1880</v>
      </c>
      <c r="Z81" s="47">
        <v>570</v>
      </c>
      <c r="AA81" s="47">
        <v>159</v>
      </c>
      <c r="AB81" s="47"/>
      <c r="AC81" s="16">
        <f t="shared" si="12"/>
        <v>37244</v>
      </c>
      <c r="AD81" s="16">
        <f t="shared" si="13"/>
        <v>37877.5</v>
      </c>
      <c r="AE81" s="16">
        <f>SUM(AC81*'Factors &amp; Percentages'!$E$27+AD81*'Factors &amp; Percentages'!$E$28)</f>
        <v>5924.4847133526982</v>
      </c>
      <c r="AF81" s="16"/>
      <c r="AG81" s="101">
        <v>1</v>
      </c>
      <c r="AH81" s="18">
        <f>AG81*'Factors &amp; Percentages'!$E$31</f>
        <v>13099.846088755494</v>
      </c>
      <c r="AI81" s="18"/>
      <c r="AJ81" s="18">
        <v>1518</v>
      </c>
      <c r="AK81" s="18">
        <f>AJ81*'Factors &amp; Percentages'!$E$34</f>
        <v>3176.2177505310874</v>
      </c>
      <c r="AL81" s="18"/>
      <c r="AM81" s="30">
        <v>50</v>
      </c>
      <c r="AN81" s="30">
        <v>47</v>
      </c>
      <c r="AO81" s="30">
        <v>82</v>
      </c>
      <c r="AP81" s="116">
        <v>81</v>
      </c>
      <c r="AQ81" s="115">
        <v>7331</v>
      </c>
      <c r="AR81" s="115">
        <f t="shared" si="14"/>
        <v>7331</v>
      </c>
      <c r="AS81" s="18">
        <f>AN81*'Factors &amp; Percentages'!$E$37+AP81*'Factors &amp; Percentages'!$E$38+AR81*'Factors &amp; Percentages'!$E$39</f>
        <v>9234.9910496314897</v>
      </c>
      <c r="AT81" s="18"/>
      <c r="AU81" s="18">
        <f t="shared" si="15"/>
        <v>31435.539602270765</v>
      </c>
      <c r="AV81" s="69">
        <f t="shared" si="10"/>
        <v>24208.600000000002</v>
      </c>
      <c r="AW81" s="46">
        <f>IF($BG81&gt;$AV81,$BG81*(1+'Factors &amp; Percentages'!$B$24),
IF($AU81&gt;$AV81,$AV81,
IF($AU81&gt;$BG81,$AU81,
$BG81*(1+'Factors &amp; Percentages'!$B$24))))</f>
        <v>28332.15</v>
      </c>
      <c r="AX81" s="46">
        <f t="shared" si="16"/>
        <v>28332.15</v>
      </c>
      <c r="AY81" s="69"/>
      <c r="AZ81" s="27"/>
      <c r="BA81" s="21">
        <v>26982.9</v>
      </c>
      <c r="BB81" s="46">
        <v>25697.7</v>
      </c>
      <c r="BC81" s="119">
        <v>24474</v>
      </c>
      <c r="BD81" s="120">
        <v>20910</v>
      </c>
      <c r="BE81" s="120">
        <v>27074.35</v>
      </c>
      <c r="BF81" s="69"/>
      <c r="BG81" s="73">
        <v>26983</v>
      </c>
      <c r="BH81" s="73">
        <v>25698</v>
      </c>
      <c r="BI81" s="117">
        <v>24474</v>
      </c>
      <c r="BJ81" s="118">
        <v>20910</v>
      </c>
      <c r="BK81" s="106">
        <v>20400</v>
      </c>
      <c r="BL81" s="106">
        <v>26414</v>
      </c>
      <c r="BM81" s="106">
        <v>25895.95</v>
      </c>
    </row>
    <row r="82" spans="1:65" x14ac:dyDescent="0.3">
      <c r="A82" s="121" t="s">
        <v>25</v>
      </c>
      <c r="B82" s="121" t="s">
        <v>25</v>
      </c>
      <c r="C82" s="174" t="s">
        <v>25</v>
      </c>
      <c r="D82" s="122" t="s">
        <v>279</v>
      </c>
      <c r="E82" s="173" t="s">
        <v>279</v>
      </c>
      <c r="F82" s="111"/>
      <c r="G82" s="185">
        <f t="shared" si="11"/>
        <v>59430</v>
      </c>
      <c r="H82" s="186"/>
      <c r="I82" s="187">
        <v>103918</v>
      </c>
      <c r="J82" s="188">
        <v>117304</v>
      </c>
      <c r="K82" s="189">
        <v>94593</v>
      </c>
      <c r="L82" s="123">
        <v>66702</v>
      </c>
      <c r="M82" s="123">
        <v>102998</v>
      </c>
      <c r="N82" s="190">
        <v>9686</v>
      </c>
      <c r="O82" s="189">
        <v>38340</v>
      </c>
      <c r="P82" s="188">
        <v>19193</v>
      </c>
      <c r="Q82" s="208">
        <v>15215</v>
      </c>
      <c r="R82" s="123">
        <v>30655</v>
      </c>
      <c r="S82" s="188"/>
      <c r="T82" s="187">
        <v>73649</v>
      </c>
      <c r="U82" s="188">
        <v>73942</v>
      </c>
      <c r="V82" s="189">
        <v>49738</v>
      </c>
      <c r="W82" s="123">
        <v>39994</v>
      </c>
      <c r="X82" s="190">
        <v>33147</v>
      </c>
      <c r="Y82" s="189">
        <v>18871</v>
      </c>
      <c r="Z82" s="188">
        <v>9502</v>
      </c>
      <c r="AA82" s="123">
        <v>32366</v>
      </c>
      <c r="AB82" s="191"/>
      <c r="AC82" s="204">
        <f t="shared" si="12"/>
        <v>107232.7</v>
      </c>
      <c r="AD82" s="205">
        <f t="shared" si="13"/>
        <v>17050.900000000001</v>
      </c>
      <c r="AE82" s="204">
        <f>SUM(AC82*'Factors &amp; Percentages'!$E$27+AD82*'Factors &amp; Percentages'!$E$28)</f>
        <v>10876.590209246311</v>
      </c>
      <c r="AF82" s="16"/>
      <c r="AG82" s="125">
        <v>2</v>
      </c>
      <c r="AH82" s="204">
        <f>AG82*'Factors &amp; Percentages'!$E$31</f>
        <v>26199.692177510988</v>
      </c>
      <c r="AI82" s="18"/>
      <c r="AJ82" s="126">
        <v>1646</v>
      </c>
      <c r="AK82" s="204">
        <f>AJ82*'Factors &amp; Percentages'!$E$34</f>
        <v>3444.0411181648024</v>
      </c>
      <c r="AL82" s="18"/>
      <c r="AM82" s="124">
        <v>57</v>
      </c>
      <c r="AN82" s="211">
        <v>57</v>
      </c>
      <c r="AO82" s="124">
        <v>131</v>
      </c>
      <c r="AP82" s="212">
        <v>131</v>
      </c>
      <c r="AQ82" s="135">
        <v>26192</v>
      </c>
      <c r="AR82" s="179">
        <f t="shared" si="14"/>
        <v>26192</v>
      </c>
      <c r="AS82" s="205">
        <f>AN82*'Factors &amp; Percentages'!$E$37+AP82*'Factors &amp; Percentages'!$E$38+AR82*'Factors &amp; Percentages'!$E$39</f>
        <v>15501.120443217234</v>
      </c>
      <c r="AT82" s="18"/>
      <c r="AU82" s="203">
        <f t="shared" si="15"/>
        <v>56021.443948139335</v>
      </c>
      <c r="AV82" s="213">
        <f t="shared" si="10"/>
        <v>56021.443948139335</v>
      </c>
      <c r="AW82" s="196">
        <f>IF($BG82&gt;$AV82,$BG82*(1+'Factors &amp; Percentages'!$B$24),
IF($AU82&gt;$AV82,$AV82,
IF($AU82&gt;$BG82,$AU82,
$BG82*(1+'Factors &amp; Percentages'!$B$24))))</f>
        <v>59430</v>
      </c>
      <c r="AX82" s="185">
        <f t="shared" si="16"/>
        <v>59430</v>
      </c>
      <c r="AY82" s="127"/>
      <c r="AZ82" s="27"/>
      <c r="BA82" s="223">
        <v>59430</v>
      </c>
      <c r="BB82" s="185">
        <v>59430</v>
      </c>
      <c r="BC82" s="204">
        <v>59430</v>
      </c>
      <c r="BD82" s="218">
        <v>56374.999999999993</v>
      </c>
      <c r="BE82" s="224">
        <v>92707.15</v>
      </c>
      <c r="BF82" s="219"/>
      <c r="BG82" s="221">
        <v>56600</v>
      </c>
      <c r="BH82" s="226">
        <v>56600</v>
      </c>
      <c r="BI82" s="220">
        <v>56600</v>
      </c>
      <c r="BJ82" s="227">
        <v>56600</v>
      </c>
      <c r="BK82" s="221">
        <v>55000</v>
      </c>
      <c r="BL82" s="128">
        <v>90446</v>
      </c>
      <c r="BM82" s="128">
        <v>88673</v>
      </c>
    </row>
    <row r="83" spans="1:65" x14ac:dyDescent="0.3">
      <c r="A83" s="111" t="s">
        <v>147</v>
      </c>
      <c r="B83" s="111" t="s">
        <v>147</v>
      </c>
      <c r="C83" s="112" t="s">
        <v>147</v>
      </c>
      <c r="D83" s="113" t="s">
        <v>279</v>
      </c>
      <c r="E83" s="113" t="s">
        <v>145</v>
      </c>
      <c r="F83" s="111"/>
      <c r="G83" s="46">
        <f t="shared" si="11"/>
        <v>16584.75</v>
      </c>
      <c r="H83" s="111"/>
      <c r="I83" s="114">
        <v>25515</v>
      </c>
      <c r="J83" s="47">
        <v>24967</v>
      </c>
      <c r="K83" s="47">
        <v>20824</v>
      </c>
      <c r="L83" s="47">
        <v>17961</v>
      </c>
      <c r="M83" s="47">
        <v>22052</v>
      </c>
      <c r="N83" s="114">
        <v>14130</v>
      </c>
      <c r="O83" s="47">
        <v>36985</v>
      </c>
      <c r="P83" s="47">
        <v>51723</v>
      </c>
      <c r="Q83" s="115">
        <v>63255</v>
      </c>
      <c r="R83" s="47">
        <v>46140</v>
      </c>
      <c r="S83" s="47"/>
      <c r="T83" s="114">
        <v>45892</v>
      </c>
      <c r="U83" s="47">
        <v>91876</v>
      </c>
      <c r="V83" s="47">
        <v>34557</v>
      </c>
      <c r="W83" s="47">
        <v>454</v>
      </c>
      <c r="X83" s="114">
        <v>824</v>
      </c>
      <c r="Y83" s="47">
        <v>2147</v>
      </c>
      <c r="Z83" s="47">
        <v>4647</v>
      </c>
      <c r="AA83" s="47">
        <v>3249</v>
      </c>
      <c r="AB83" s="47"/>
      <c r="AC83" s="16">
        <f t="shared" si="12"/>
        <v>25597.4</v>
      </c>
      <c r="AD83" s="16">
        <f t="shared" si="13"/>
        <v>18719.2</v>
      </c>
      <c r="AE83" s="16">
        <f>SUM(AC83*'Factors &amp; Percentages'!$E$27+AD83*'Factors &amp; Percentages'!$E$28)</f>
        <v>3580.4909053128349</v>
      </c>
      <c r="AF83" s="16"/>
      <c r="AG83" s="101">
        <v>0.5</v>
      </c>
      <c r="AH83" s="18">
        <f>AG83*'Factors &amp; Percentages'!$E$31</f>
        <v>6549.9230443777469</v>
      </c>
      <c r="AI83" s="18"/>
      <c r="AJ83" s="18">
        <v>3947</v>
      </c>
      <c r="AK83" s="18">
        <f>AJ83*'Factors &amp; Percentages'!$E$34</f>
        <v>8258.5846253927557</v>
      </c>
      <c r="AL83" s="18"/>
      <c r="AM83" s="30">
        <v>32</v>
      </c>
      <c r="AN83" s="30">
        <v>32</v>
      </c>
      <c r="AO83" s="137">
        <v>38</v>
      </c>
      <c r="AP83" s="116">
        <v>0</v>
      </c>
      <c r="AQ83" s="115">
        <v>926</v>
      </c>
      <c r="AR83" s="115">
        <f t="shared" si="14"/>
        <v>926</v>
      </c>
      <c r="AS83" s="18">
        <f>AN83*'Factors &amp; Percentages'!$E$37+AP83*'Factors &amp; Percentages'!$E$38+AR83*'Factors &amp; Percentages'!$E$39</f>
        <v>4164.3444208279743</v>
      </c>
      <c r="AT83" s="18"/>
      <c r="AU83" s="18">
        <f t="shared" si="15"/>
        <v>22553.342995911313</v>
      </c>
      <c r="AV83" s="69">
        <f t="shared" ref="AV83:AV114" si="17">IF($N83&gt;($J83+$K83+$I83)/3,$AU83,MIN(AU83,$I83*0.65))</f>
        <v>16584.75</v>
      </c>
      <c r="AW83" s="46">
        <f>IF($BG83&gt;$AV83,$BG83*(1+'Factors &amp; Percentages'!$B$24),
IF($AU83&gt;$AV83,$AV83,
IF($AU83&gt;$BG83,$AU83,
$BG83*(1+'Factors &amp; Percentages'!$B$24))))</f>
        <v>16584.75</v>
      </c>
      <c r="AX83" s="46">
        <f t="shared" si="16"/>
        <v>16584.75</v>
      </c>
      <c r="AY83" s="69"/>
      <c r="AZ83" s="27"/>
      <c r="BA83" s="21">
        <v>23092.511044113482</v>
      </c>
      <c r="BB83" s="46">
        <v>21703</v>
      </c>
      <c r="BC83" s="119">
        <v>13125</v>
      </c>
      <c r="BD83" s="120">
        <v>14333.800000000001</v>
      </c>
      <c r="BE83" s="120">
        <v>15700.5</v>
      </c>
      <c r="BF83" s="69"/>
      <c r="BG83" s="73">
        <v>15000</v>
      </c>
      <c r="BH83" s="73">
        <v>15000</v>
      </c>
      <c r="BI83" s="117">
        <v>12800</v>
      </c>
      <c r="BJ83" s="118">
        <v>12500</v>
      </c>
      <c r="BK83" s="106">
        <v>12000</v>
      </c>
      <c r="BL83" s="106">
        <v>11300</v>
      </c>
      <c r="BM83" s="106">
        <v>10550</v>
      </c>
    </row>
    <row r="84" spans="1:65" x14ac:dyDescent="0.3">
      <c r="A84" s="121" t="s">
        <v>376</v>
      </c>
      <c r="B84" s="121" t="s">
        <v>139</v>
      </c>
      <c r="C84" s="174" t="s">
        <v>139</v>
      </c>
      <c r="D84" s="122" t="s">
        <v>302</v>
      </c>
      <c r="E84" s="173" t="s">
        <v>316</v>
      </c>
      <c r="F84" s="111"/>
      <c r="G84" s="185">
        <f t="shared" si="11"/>
        <v>68250</v>
      </c>
      <c r="H84" s="186"/>
      <c r="I84" s="187">
        <v>114854</v>
      </c>
      <c r="J84" s="188">
        <v>98532</v>
      </c>
      <c r="K84" s="189">
        <v>109421</v>
      </c>
      <c r="L84" s="123">
        <v>104462</v>
      </c>
      <c r="M84" s="123">
        <v>86381</v>
      </c>
      <c r="N84" s="190">
        <v>26198</v>
      </c>
      <c r="O84" s="189">
        <v>28098</v>
      </c>
      <c r="P84" s="188">
        <v>31511</v>
      </c>
      <c r="Q84" s="208">
        <v>32671</v>
      </c>
      <c r="R84" s="123">
        <v>21561</v>
      </c>
      <c r="S84" s="188"/>
      <c r="T84" s="187">
        <v>29474</v>
      </c>
      <c r="U84" s="188">
        <v>31501</v>
      </c>
      <c r="V84" s="189">
        <v>10677</v>
      </c>
      <c r="W84" s="123">
        <v>10051</v>
      </c>
      <c r="X84" s="190">
        <v>5045</v>
      </c>
      <c r="Y84" s="189">
        <v>17912</v>
      </c>
      <c r="Z84" s="188">
        <v>7651</v>
      </c>
      <c r="AA84" s="123">
        <v>428</v>
      </c>
      <c r="AB84" s="191"/>
      <c r="AC84" s="204">
        <f t="shared" si="12"/>
        <v>115358.5</v>
      </c>
      <c r="AD84" s="205">
        <f t="shared" si="13"/>
        <v>29145.4</v>
      </c>
      <c r="AE84" s="204">
        <f>SUM(AC84*'Factors &amp; Percentages'!$E$27+AD84*'Factors &amp; Percentages'!$E$28)</f>
        <v>12426.519425827395</v>
      </c>
      <c r="AF84" s="16"/>
      <c r="AG84" s="125">
        <v>0.75</v>
      </c>
      <c r="AH84" s="204">
        <f>AG84*'Factors &amp; Percentages'!$E$31</f>
        <v>9824.8845665666195</v>
      </c>
      <c r="AI84" s="18"/>
      <c r="AJ84" s="126">
        <v>7538</v>
      </c>
      <c r="AK84" s="204">
        <f>AJ84*'Factors &amp; Percentages'!$E$34</f>
        <v>15772.285509554242</v>
      </c>
      <c r="AL84" s="18"/>
      <c r="AM84" s="124">
        <v>55</v>
      </c>
      <c r="AN84" s="211">
        <v>48</v>
      </c>
      <c r="AO84" s="124">
        <v>70</v>
      </c>
      <c r="AP84" s="212">
        <v>65</v>
      </c>
      <c r="AQ84" s="135">
        <v>8969</v>
      </c>
      <c r="AR84" s="179">
        <f t="shared" si="14"/>
        <v>8969</v>
      </c>
      <c r="AS84" s="205">
        <f>AN84*'Factors &amp; Percentages'!$E$37+AP84*'Factors &amp; Percentages'!$E$38+AR84*'Factors &amp; Percentages'!$E$39</f>
        <v>9318.5202102879994</v>
      </c>
      <c r="AT84" s="18"/>
      <c r="AU84" s="203">
        <f t="shared" si="15"/>
        <v>47342.209712236254</v>
      </c>
      <c r="AV84" s="213">
        <f t="shared" si="17"/>
        <v>47342.209712236254</v>
      </c>
      <c r="AW84" s="196">
        <f>IF($BG84&gt;$AV84,$BG84*(1+'Factors &amp; Percentages'!$B$24),
IF($AU84&gt;$AV84,$AV84,
IF($AU84&gt;$BG84,$AU84,
$BG84*(1+'Factors &amp; Percentages'!$B$24))))</f>
        <v>68250</v>
      </c>
      <c r="AX84" s="185">
        <f t="shared" si="16"/>
        <v>68250</v>
      </c>
      <c r="AY84" s="127"/>
      <c r="AZ84" s="27"/>
      <c r="BA84" s="223">
        <v>67479.3</v>
      </c>
      <c r="BB84" s="185">
        <v>64266.3</v>
      </c>
      <c r="BC84" s="204">
        <v>61206</v>
      </c>
      <c r="BD84" s="218">
        <v>59771.849999999991</v>
      </c>
      <c r="BE84" s="224">
        <v>58314.299999999996</v>
      </c>
      <c r="BF84" s="219"/>
      <c r="BG84" s="221">
        <v>65000</v>
      </c>
      <c r="BH84" s="226">
        <v>64266</v>
      </c>
      <c r="BI84" s="220">
        <v>61206</v>
      </c>
      <c r="BJ84" s="227">
        <v>59772</v>
      </c>
      <c r="BK84" s="221">
        <v>58314</v>
      </c>
      <c r="BL84" s="128">
        <v>56892</v>
      </c>
      <c r="BM84" s="128">
        <v>54180</v>
      </c>
    </row>
    <row r="85" spans="1:65" x14ac:dyDescent="0.3">
      <c r="A85" s="111" t="s">
        <v>26</v>
      </c>
      <c r="B85" s="111" t="s">
        <v>26</v>
      </c>
      <c r="C85" s="112" t="s">
        <v>26</v>
      </c>
      <c r="D85" s="113" t="s">
        <v>279</v>
      </c>
      <c r="E85" s="113" t="s">
        <v>279</v>
      </c>
      <c r="F85" s="111"/>
      <c r="G85" s="46">
        <f t="shared" si="11"/>
        <v>18283.499336321947</v>
      </c>
      <c r="H85" s="111"/>
      <c r="I85" s="114">
        <v>14082</v>
      </c>
      <c r="J85" s="47">
        <v>15137</v>
      </c>
      <c r="K85" s="47">
        <v>12286</v>
      </c>
      <c r="L85" s="47">
        <v>17392</v>
      </c>
      <c r="M85" s="47">
        <v>15533</v>
      </c>
      <c r="N85" s="114">
        <v>20409</v>
      </c>
      <c r="O85" s="47">
        <v>18721</v>
      </c>
      <c r="P85" s="47">
        <v>21936</v>
      </c>
      <c r="Q85" s="115">
        <v>21085</v>
      </c>
      <c r="R85" s="47">
        <v>14844</v>
      </c>
      <c r="S85" s="47"/>
      <c r="T85" s="114">
        <v>1034</v>
      </c>
      <c r="U85" s="47">
        <v>1018</v>
      </c>
      <c r="V85" s="47">
        <v>1015</v>
      </c>
      <c r="W85" s="47">
        <v>1012</v>
      </c>
      <c r="X85" s="114">
        <v>16</v>
      </c>
      <c r="Y85" s="47">
        <v>3</v>
      </c>
      <c r="Z85" s="47">
        <v>3</v>
      </c>
      <c r="AA85" s="47">
        <v>1</v>
      </c>
      <c r="AB85" s="47"/>
      <c r="AC85" s="16">
        <f t="shared" si="12"/>
        <v>14083.6</v>
      </c>
      <c r="AD85" s="16">
        <f t="shared" si="13"/>
        <v>20512.400000000001</v>
      </c>
      <c r="AE85" s="16">
        <f>SUM(AC85*'Factors &amp; Percentages'!$E$27+AD85*'Factors &amp; Percentages'!$E$28)</f>
        <v>2656.116291347917</v>
      </c>
      <c r="AF85" s="16"/>
      <c r="AG85" s="101">
        <v>0.16500000000000001</v>
      </c>
      <c r="AH85" s="18">
        <f>AG85*'Factors &amp; Percentages'!$E$31</f>
        <v>2161.4746046446567</v>
      </c>
      <c r="AI85" s="18"/>
      <c r="AJ85" s="18">
        <v>4660</v>
      </c>
      <c r="AK85" s="18">
        <f>AJ85*'Factors &amp; Percentages'!$E$34</f>
        <v>9750.4444779149326</v>
      </c>
      <c r="AL85" s="18"/>
      <c r="AM85" s="30">
        <v>21</v>
      </c>
      <c r="AN85" s="30">
        <v>24</v>
      </c>
      <c r="AO85" s="30">
        <v>26</v>
      </c>
      <c r="AP85" s="116">
        <v>26</v>
      </c>
      <c r="AQ85" s="115">
        <v>609</v>
      </c>
      <c r="AR85" s="115">
        <f t="shared" si="14"/>
        <v>609</v>
      </c>
      <c r="AS85" s="18">
        <f>AN85*'Factors &amp; Percentages'!$E$37+AP85*'Factors &amp; Percentages'!$E$38+AR85*'Factors &amp; Percentages'!$E$39</f>
        <v>3715.4639624144393</v>
      </c>
      <c r="AT85" s="18"/>
      <c r="AU85" s="18">
        <f t="shared" si="15"/>
        <v>18283.499336321947</v>
      </c>
      <c r="AV85" s="69">
        <f t="shared" si="17"/>
        <v>18283.499336321947</v>
      </c>
      <c r="AW85" s="46">
        <f>IF($BG85&gt;$AV85,$BG85*(1+'Factors &amp; Percentages'!$B$24),
IF($AU85&gt;$AV85,$AV85,
IF($AU85&gt;$BG85,$AU85,
$BG85*(1+'Factors &amp; Percentages'!$B$24))))</f>
        <v>18283.499336321947</v>
      </c>
      <c r="AX85" s="46">
        <f t="shared" si="16"/>
        <v>18283.499336321947</v>
      </c>
      <c r="AY85" s="69"/>
      <c r="AZ85" s="27"/>
      <c r="BA85" s="21">
        <v>16423.584838561001</v>
      </c>
      <c r="BB85" s="46">
        <v>16749</v>
      </c>
      <c r="BC85" s="119">
        <v>11305</v>
      </c>
      <c r="BD85" s="120">
        <v>10096.450000000001</v>
      </c>
      <c r="BE85" s="120">
        <v>12401.75</v>
      </c>
      <c r="BF85" s="69"/>
      <c r="BG85" s="73">
        <v>8220</v>
      </c>
      <c r="BH85" s="73">
        <v>6600</v>
      </c>
      <c r="BI85" s="117">
        <v>6300</v>
      </c>
      <c r="BJ85" s="118">
        <v>6096</v>
      </c>
      <c r="BK85" s="106">
        <v>5100</v>
      </c>
      <c r="BL85" s="106">
        <v>4800</v>
      </c>
      <c r="BM85" s="106">
        <v>4200</v>
      </c>
    </row>
    <row r="86" spans="1:65" x14ac:dyDescent="0.3">
      <c r="A86" s="121" t="s">
        <v>377</v>
      </c>
      <c r="B86" s="121" t="s">
        <v>180</v>
      </c>
      <c r="C86" s="174" t="s">
        <v>180</v>
      </c>
      <c r="D86" s="122" t="s">
        <v>295</v>
      </c>
      <c r="E86" s="173" t="s">
        <v>296</v>
      </c>
      <c r="F86" s="111"/>
      <c r="G86" s="185">
        <f t="shared" si="11"/>
        <v>30045.124730833439</v>
      </c>
      <c r="H86" s="186"/>
      <c r="I86" s="187">
        <v>34395</v>
      </c>
      <c r="J86" s="188">
        <v>64147</v>
      </c>
      <c r="K86" s="189">
        <v>33913</v>
      </c>
      <c r="L86" s="123">
        <v>48952</v>
      </c>
      <c r="M86" s="123">
        <v>29478</v>
      </c>
      <c r="N86" s="190">
        <v>180251</v>
      </c>
      <c r="O86" s="189">
        <v>194598</v>
      </c>
      <c r="P86" s="188">
        <v>181885</v>
      </c>
      <c r="Q86" s="208">
        <v>217319</v>
      </c>
      <c r="R86" s="123">
        <v>174526</v>
      </c>
      <c r="S86" s="188"/>
      <c r="T86" s="187">
        <v>0</v>
      </c>
      <c r="U86" s="188">
        <v>0</v>
      </c>
      <c r="V86" s="189">
        <v>0</v>
      </c>
      <c r="W86" s="123">
        <v>0</v>
      </c>
      <c r="X86" s="190">
        <v>0</v>
      </c>
      <c r="Y86" s="189">
        <v>0</v>
      </c>
      <c r="Z86" s="188">
        <v>0</v>
      </c>
      <c r="AA86" s="123">
        <v>0</v>
      </c>
      <c r="AB86" s="191"/>
      <c r="AC86" s="204">
        <f t="shared" si="12"/>
        <v>34395</v>
      </c>
      <c r="AD86" s="205">
        <f t="shared" si="13"/>
        <v>180251</v>
      </c>
      <c r="AE86" s="204">
        <f>SUM(AC86*'Factors &amp; Percentages'!$E$27+AD86*'Factors &amp; Percentages'!$E$28)</f>
        <v>15230.911383706341</v>
      </c>
      <c r="AF86" s="16"/>
      <c r="AG86" s="125">
        <v>0.5</v>
      </c>
      <c r="AH86" s="204">
        <f>AG86*'Factors &amp; Percentages'!$E$31</f>
        <v>6549.9230443777469</v>
      </c>
      <c r="AI86" s="18"/>
      <c r="AJ86" s="126">
        <v>819</v>
      </c>
      <c r="AK86" s="204">
        <f>AJ86*'Factors &amp; Percentages'!$E$34</f>
        <v>1713.6510788438477</v>
      </c>
      <c r="AL86" s="18"/>
      <c r="AM86" s="129">
        <v>27</v>
      </c>
      <c r="AN86" s="211">
        <v>30</v>
      </c>
      <c r="AO86" s="129">
        <v>50</v>
      </c>
      <c r="AP86" s="212">
        <v>49</v>
      </c>
      <c r="AQ86" s="135">
        <v>8202</v>
      </c>
      <c r="AR86" s="179">
        <f t="shared" si="14"/>
        <v>8202</v>
      </c>
      <c r="AS86" s="205">
        <f>AN86*'Factors &amp; Percentages'!$E$37+AP86*'Factors &amp; Percentages'!$E$38+AR86*'Factors &amp; Percentages'!$E$39</f>
        <v>6550.6392239055031</v>
      </c>
      <c r="AT86" s="18"/>
      <c r="AU86" s="203">
        <f t="shared" si="15"/>
        <v>30045.124730833439</v>
      </c>
      <c r="AV86" s="213">
        <f t="shared" si="17"/>
        <v>30045.124730833439</v>
      </c>
      <c r="AW86" s="196">
        <f>IF($BG86&gt;$AV86,$BG86*(1+'Factors &amp; Percentages'!$B$24),
IF($AU86&gt;$AV86,$AV86,
IF($AU86&gt;$BG86,$AU86,
$BG86*(1+'Factors &amp; Percentages'!$B$24))))</f>
        <v>30045.124730833439</v>
      </c>
      <c r="AX86" s="185">
        <f t="shared" si="16"/>
        <v>30045.124730833439</v>
      </c>
      <c r="AY86" s="127"/>
      <c r="AZ86" s="27"/>
      <c r="BA86" s="223">
        <v>31500</v>
      </c>
      <c r="BB86" s="185">
        <v>36508.5</v>
      </c>
      <c r="BC86" s="204">
        <v>34770</v>
      </c>
      <c r="BD86" s="218">
        <v>33113.649999999994</v>
      </c>
      <c r="BE86" s="224">
        <v>32305.693364271676</v>
      </c>
      <c r="BF86" s="219"/>
      <c r="BG86" s="221">
        <v>25000</v>
      </c>
      <c r="BH86" s="226">
        <v>30000</v>
      </c>
      <c r="BI86" s="220">
        <v>34770</v>
      </c>
      <c r="BJ86" s="227">
        <v>33114</v>
      </c>
      <c r="BK86" s="221">
        <v>32306</v>
      </c>
      <c r="BL86" s="128">
        <v>12360</v>
      </c>
      <c r="BM86" s="128">
        <v>12000</v>
      </c>
    </row>
    <row r="87" spans="1:65" x14ac:dyDescent="0.3">
      <c r="A87" s="111" t="s">
        <v>378</v>
      </c>
      <c r="B87" s="111" t="s">
        <v>131</v>
      </c>
      <c r="C87" s="112" t="s">
        <v>131</v>
      </c>
      <c r="D87" s="113" t="s">
        <v>302</v>
      </c>
      <c r="E87" s="113" t="s">
        <v>298</v>
      </c>
      <c r="F87" s="111"/>
      <c r="G87" s="46">
        <f t="shared" si="11"/>
        <v>15750</v>
      </c>
      <c r="H87" s="111"/>
      <c r="I87" s="114">
        <v>21257</v>
      </c>
      <c r="J87" s="47">
        <v>25148</v>
      </c>
      <c r="K87" s="47">
        <v>25072</v>
      </c>
      <c r="L87" s="47">
        <v>28584</v>
      </c>
      <c r="M87" s="47">
        <v>14674</v>
      </c>
      <c r="N87" s="114">
        <v>23250</v>
      </c>
      <c r="O87" s="47">
        <v>28902</v>
      </c>
      <c r="P87" s="47">
        <v>27407</v>
      </c>
      <c r="Q87" s="115">
        <v>20959</v>
      </c>
      <c r="R87" s="47">
        <v>8022</v>
      </c>
      <c r="S87" s="47"/>
      <c r="T87" s="114">
        <v>0</v>
      </c>
      <c r="U87" s="47">
        <v>0</v>
      </c>
      <c r="V87" s="47">
        <v>0</v>
      </c>
      <c r="W87" s="47">
        <v>0</v>
      </c>
      <c r="X87" s="114">
        <v>0</v>
      </c>
      <c r="Y87" s="47">
        <v>0</v>
      </c>
      <c r="Z87" s="47">
        <v>0</v>
      </c>
      <c r="AA87" s="47">
        <v>0</v>
      </c>
      <c r="AB87" s="47"/>
      <c r="AC87" s="16">
        <f t="shared" si="12"/>
        <v>21257</v>
      </c>
      <c r="AD87" s="16">
        <f t="shared" si="13"/>
        <v>23250</v>
      </c>
      <c r="AE87" s="16">
        <f>SUM(AC87*'Factors &amp; Percentages'!$E$27+AD87*'Factors &amp; Percentages'!$E$28)</f>
        <v>3491.0006526341858</v>
      </c>
      <c r="AF87" s="16"/>
      <c r="AG87" s="101">
        <v>0.1</v>
      </c>
      <c r="AH87" s="18">
        <f>AG87*'Factors &amp; Percentages'!$E$31</f>
        <v>1309.9846088755494</v>
      </c>
      <c r="AI87" s="18"/>
      <c r="AJ87" s="18">
        <v>1170</v>
      </c>
      <c r="AK87" s="18">
        <f>AJ87*'Factors &amp; Percentages'!$E$34</f>
        <v>2448.0729697769252</v>
      </c>
      <c r="AL87" s="18"/>
      <c r="AM87" s="30">
        <v>13</v>
      </c>
      <c r="AN87" s="30">
        <v>16</v>
      </c>
      <c r="AO87" s="30">
        <v>19</v>
      </c>
      <c r="AP87" s="116">
        <v>19</v>
      </c>
      <c r="AQ87" s="115">
        <v>5736</v>
      </c>
      <c r="AR87" s="115">
        <f t="shared" si="14"/>
        <v>5736</v>
      </c>
      <c r="AS87" s="18">
        <f>AN87*'Factors &amp; Percentages'!$E$37+AP87*'Factors &amp; Percentages'!$E$38+AR87*'Factors &amp; Percentages'!$E$39</f>
        <v>3604.4469588449738</v>
      </c>
      <c r="AT87" s="18"/>
      <c r="AU87" s="18">
        <f t="shared" si="15"/>
        <v>10853.505190131635</v>
      </c>
      <c r="AV87" s="69">
        <f t="shared" si="17"/>
        <v>10853.505190131635</v>
      </c>
      <c r="AW87" s="46">
        <f>IF($BG87&gt;$AV87,$BG87*(1+'Factors &amp; Percentages'!$B$24),
IF($AU87&gt;$AV87,$AV87,
IF($AU87&gt;$BG87,$AU87,
$BG87*(1+'Factors &amp; Percentages'!$B$24))))</f>
        <v>15750</v>
      </c>
      <c r="AX87" s="46">
        <f t="shared" si="16"/>
        <v>15750</v>
      </c>
      <c r="AY87" s="69"/>
      <c r="AZ87" s="27"/>
      <c r="BA87" s="21">
        <v>15000.446012547138</v>
      </c>
      <c r="BB87" s="46">
        <v>15904</v>
      </c>
      <c r="BC87" s="119">
        <v>18580</v>
      </c>
      <c r="BD87" s="120">
        <v>9538.1</v>
      </c>
      <c r="BE87" s="120">
        <v>15438.774865382127</v>
      </c>
      <c r="BF87" s="69"/>
      <c r="BG87" s="73">
        <v>15000</v>
      </c>
      <c r="BH87" s="73">
        <v>11004</v>
      </c>
      <c r="BI87" s="117">
        <v>11000</v>
      </c>
      <c r="BJ87" s="118">
        <v>9538</v>
      </c>
      <c r="BK87" s="106">
        <v>9000</v>
      </c>
      <c r="BL87" s="106">
        <v>14050</v>
      </c>
      <c r="BM87" s="106">
        <v>14050</v>
      </c>
    </row>
    <row r="88" spans="1:65" x14ac:dyDescent="0.3">
      <c r="A88" s="121" t="s">
        <v>148</v>
      </c>
      <c r="B88" s="121" t="s">
        <v>148</v>
      </c>
      <c r="C88" s="174" t="s">
        <v>148</v>
      </c>
      <c r="D88" s="122" t="s">
        <v>279</v>
      </c>
      <c r="E88" s="173" t="s">
        <v>145</v>
      </c>
      <c r="F88" s="111"/>
      <c r="G88" s="185">
        <f t="shared" si="11"/>
        <v>26044.850000000002</v>
      </c>
      <c r="H88" s="186"/>
      <c r="I88" s="187">
        <v>40069</v>
      </c>
      <c r="J88" s="188">
        <v>33972</v>
      </c>
      <c r="K88" s="189">
        <v>36599</v>
      </c>
      <c r="L88" s="123">
        <v>33614</v>
      </c>
      <c r="M88" s="123">
        <v>30269</v>
      </c>
      <c r="N88" s="190">
        <v>34205</v>
      </c>
      <c r="O88" s="189">
        <v>8962</v>
      </c>
      <c r="P88" s="188">
        <v>12037</v>
      </c>
      <c r="Q88" s="208">
        <v>22064</v>
      </c>
      <c r="R88" s="123">
        <v>20000</v>
      </c>
      <c r="S88" s="188"/>
      <c r="T88" s="187">
        <v>17584</v>
      </c>
      <c r="U88" s="188">
        <v>44632</v>
      </c>
      <c r="V88" s="189">
        <v>45107</v>
      </c>
      <c r="W88" s="123">
        <v>35987</v>
      </c>
      <c r="X88" s="190">
        <v>10454</v>
      </c>
      <c r="Y88" s="189">
        <v>11419</v>
      </c>
      <c r="Z88" s="188">
        <v>14606</v>
      </c>
      <c r="AA88" s="123">
        <v>9477</v>
      </c>
      <c r="AB88" s="191"/>
      <c r="AC88" s="204">
        <f t="shared" si="12"/>
        <v>41114.400000000001</v>
      </c>
      <c r="AD88" s="205">
        <f t="shared" si="13"/>
        <v>35963.4</v>
      </c>
      <c r="AE88" s="204">
        <f>SUM(AC88*'Factors &amp; Percentages'!$E$27+AD88*'Factors &amp; Percentages'!$E$28)</f>
        <v>6147.1194308865324</v>
      </c>
      <c r="AF88" s="16"/>
      <c r="AG88" s="125">
        <v>0.5</v>
      </c>
      <c r="AH88" s="204">
        <f>AG88*'Factors &amp; Percentages'!$E$31</f>
        <v>6549.9230443777469</v>
      </c>
      <c r="AI88" s="18"/>
      <c r="AJ88" s="126">
        <v>7213</v>
      </c>
      <c r="AK88" s="204">
        <f>AJ88*'Factors &amp; Percentages'!$E$34</f>
        <v>15092.265240171762</v>
      </c>
      <c r="AL88" s="18"/>
      <c r="AM88" s="124">
        <v>45</v>
      </c>
      <c r="AN88" s="211">
        <v>44</v>
      </c>
      <c r="AO88" s="124">
        <v>85</v>
      </c>
      <c r="AP88" s="212">
        <v>0</v>
      </c>
      <c r="AQ88" s="135">
        <v>6780</v>
      </c>
      <c r="AR88" s="179">
        <f t="shared" si="14"/>
        <v>6780</v>
      </c>
      <c r="AS88" s="205">
        <f>AN88*'Factors &amp; Percentages'!$E$37+AP88*'Factors &amp; Percentages'!$E$38+AR88*'Factors &amp; Percentages'!$E$39</f>
        <v>6850.4559645518029</v>
      </c>
      <c r="AT88" s="18"/>
      <c r="AU88" s="203">
        <f t="shared" si="15"/>
        <v>34639.763679987846</v>
      </c>
      <c r="AV88" s="213">
        <f t="shared" si="17"/>
        <v>26044.850000000002</v>
      </c>
      <c r="AW88" s="196">
        <f>IF($BG88&gt;$AV88,$BG88*(1+'Factors &amp; Percentages'!$B$24),
IF($AU88&gt;$AV88,$AV88,
IF($AU88&gt;$BG88,$AU88,
$BG88*(1+'Factors &amp; Percentages'!$B$24))))</f>
        <v>26044.850000000002</v>
      </c>
      <c r="AX88" s="185">
        <f t="shared" si="16"/>
        <v>26044.850000000002</v>
      </c>
      <c r="AY88" s="127"/>
      <c r="AZ88" s="27"/>
      <c r="BA88" s="223">
        <v>22081.8</v>
      </c>
      <c r="BB88" s="185">
        <v>23789.350000000002</v>
      </c>
      <c r="BC88" s="204">
        <v>21849</v>
      </c>
      <c r="BD88" s="218">
        <v>19674.850000000002</v>
      </c>
      <c r="BE88" s="224">
        <v>29380.55</v>
      </c>
      <c r="BF88" s="219"/>
      <c r="BG88" s="221">
        <v>22382</v>
      </c>
      <c r="BH88" s="226">
        <v>22000</v>
      </c>
      <c r="BI88" s="220">
        <v>21849</v>
      </c>
      <c r="BJ88" s="227">
        <v>19675</v>
      </c>
      <c r="BK88" s="221">
        <v>15000</v>
      </c>
      <c r="BL88" s="128">
        <v>24800</v>
      </c>
      <c r="BM88" s="128">
        <v>24430</v>
      </c>
    </row>
    <row r="89" spans="1:65" s="171" customFormat="1" x14ac:dyDescent="0.3">
      <c r="A89" s="142" t="s">
        <v>379</v>
      </c>
      <c r="B89" s="142" t="s">
        <v>380</v>
      </c>
      <c r="C89" s="143" t="s">
        <v>149</v>
      </c>
      <c r="D89" s="144" t="s">
        <v>279</v>
      </c>
      <c r="E89" s="144" t="s">
        <v>145</v>
      </c>
      <c r="F89" s="142"/>
      <c r="G89" s="152">
        <v>0</v>
      </c>
      <c r="H89" s="142"/>
      <c r="I89" s="145">
        <v>7731</v>
      </c>
      <c r="J89" s="146">
        <v>12585</v>
      </c>
      <c r="K89" s="146">
        <v>14793</v>
      </c>
      <c r="L89" s="146">
        <v>12961</v>
      </c>
      <c r="M89" s="146">
        <v>23609</v>
      </c>
      <c r="N89" s="145">
        <v>8316</v>
      </c>
      <c r="O89" s="146">
        <v>9730</v>
      </c>
      <c r="P89" s="146">
        <v>27007</v>
      </c>
      <c r="Q89" s="91">
        <v>46171</v>
      </c>
      <c r="R89" s="146">
        <v>7989</v>
      </c>
      <c r="S89" s="146"/>
      <c r="T89" s="145">
        <v>2741</v>
      </c>
      <c r="U89" s="146">
        <v>2741</v>
      </c>
      <c r="V89" s="146">
        <v>2741</v>
      </c>
      <c r="W89" s="146">
        <v>2741</v>
      </c>
      <c r="X89" s="145">
        <v>0</v>
      </c>
      <c r="Y89" s="146">
        <v>0</v>
      </c>
      <c r="Z89" s="146">
        <v>0</v>
      </c>
      <c r="AA89" s="146">
        <v>0</v>
      </c>
      <c r="AB89" s="146"/>
      <c r="AC89" s="147">
        <f t="shared" si="12"/>
        <v>7731</v>
      </c>
      <c r="AD89" s="147">
        <f t="shared" si="13"/>
        <v>8590.1</v>
      </c>
      <c r="AE89" s="147">
        <f>SUM(AC89*'Factors &amp; Percentages'!$E$27+AD89*'Factors &amp; Percentages'!$E$28)</f>
        <v>1278.6688827322268</v>
      </c>
      <c r="AF89" s="147"/>
      <c r="AG89" s="148">
        <v>1E-10</v>
      </c>
      <c r="AH89" s="149">
        <f>AG89*'Factors &amp; Percentages'!$E$31</f>
        <v>1.3099846088755494E-6</v>
      </c>
      <c r="AI89" s="149"/>
      <c r="AJ89" s="149">
        <v>983</v>
      </c>
      <c r="AK89" s="149">
        <f>AJ89*'Factors &amp; Percentages'!$E$34</f>
        <v>2056.7997686245449</v>
      </c>
      <c r="AL89" s="149"/>
      <c r="AM89" s="54">
        <v>25</v>
      </c>
      <c r="AN89" s="54">
        <v>10</v>
      </c>
      <c r="AO89" s="54">
        <v>42</v>
      </c>
      <c r="AP89" s="150">
        <v>0</v>
      </c>
      <c r="AQ89" s="91">
        <v>11134</v>
      </c>
      <c r="AR89" s="91">
        <f t="shared" si="14"/>
        <v>11134</v>
      </c>
      <c r="AS89" s="149">
        <f>AN89*'Factors &amp; Percentages'!$E$37+AP89*'Factors &amp; Percentages'!$E$38+AR89*'Factors &amp; Percentages'!$E$39</f>
        <v>3515.8380045664317</v>
      </c>
      <c r="AT89" s="149"/>
      <c r="AU89" s="149">
        <f t="shared" si="15"/>
        <v>6851.3066572331882</v>
      </c>
      <c r="AV89" s="151">
        <f t="shared" si="17"/>
        <v>5025.1500000000005</v>
      </c>
      <c r="AW89" s="152">
        <f>IF($BG89&gt;$AV89,$BG89*(1+'Factors &amp; Percentages'!$B$24),
IF($AU89&gt;$AV89,$AV89,
IF($AU89&gt;$BG89,$AU89,
$BG89*(1+'Factors &amp; Percentages'!$B$24))))</f>
        <v>5025.1500000000005</v>
      </c>
      <c r="AX89" s="152">
        <f t="shared" si="16"/>
        <v>2.1544186046511627E-5</v>
      </c>
      <c r="AY89" s="151"/>
      <c r="BA89" s="110">
        <v>14916.300000000001</v>
      </c>
      <c r="BB89" s="152">
        <v>20061</v>
      </c>
      <c r="BC89" s="157">
        <v>12915</v>
      </c>
      <c r="BD89" s="158">
        <v>15345.85</v>
      </c>
      <c r="BE89" s="158">
        <v>15660.85</v>
      </c>
      <c r="BF89" s="151"/>
      <c r="BG89" s="109">
        <v>0</v>
      </c>
      <c r="BH89" s="109">
        <v>14206</v>
      </c>
      <c r="BI89" s="153">
        <v>14206</v>
      </c>
      <c r="BJ89" s="154">
        <v>12300</v>
      </c>
      <c r="BK89" s="155">
        <v>12000</v>
      </c>
      <c r="BL89" s="155">
        <v>12600</v>
      </c>
      <c r="BM89" s="155">
        <v>11000</v>
      </c>
    </row>
    <row r="90" spans="1:65" x14ac:dyDescent="0.3">
      <c r="A90" s="121" t="s">
        <v>381</v>
      </c>
      <c r="B90" s="121" t="s">
        <v>382</v>
      </c>
      <c r="C90" s="174" t="s">
        <v>150</v>
      </c>
      <c r="D90" s="122" t="s">
        <v>279</v>
      </c>
      <c r="E90" s="173" t="s">
        <v>145</v>
      </c>
      <c r="F90" s="111"/>
      <c r="G90" s="185">
        <f t="shared" ref="G90:G121" si="18">+AX90</f>
        <v>28797.938309026998</v>
      </c>
      <c r="H90" s="186"/>
      <c r="I90" s="187">
        <v>44699</v>
      </c>
      <c r="J90" s="188">
        <v>49918</v>
      </c>
      <c r="K90" s="189">
        <v>44861</v>
      </c>
      <c r="L90" s="123">
        <v>48326</v>
      </c>
      <c r="M90" s="123">
        <v>42963</v>
      </c>
      <c r="N90" s="190">
        <v>66257</v>
      </c>
      <c r="O90" s="189">
        <v>69944</v>
      </c>
      <c r="P90" s="188">
        <v>59044</v>
      </c>
      <c r="Q90" s="208">
        <v>59787</v>
      </c>
      <c r="R90" s="123">
        <v>57866</v>
      </c>
      <c r="S90" s="188"/>
      <c r="T90" s="187">
        <v>66829</v>
      </c>
      <c r="U90" s="188">
        <v>99306</v>
      </c>
      <c r="V90" s="189">
        <v>95231</v>
      </c>
      <c r="W90" s="123">
        <v>172482</v>
      </c>
      <c r="X90" s="190">
        <v>23508</v>
      </c>
      <c r="Y90" s="189">
        <v>17559</v>
      </c>
      <c r="Z90" s="188">
        <v>3426</v>
      </c>
      <c r="AA90" s="123">
        <v>7657</v>
      </c>
      <c r="AB90" s="191"/>
      <c r="AC90" s="204">
        <f t="shared" si="12"/>
        <v>47049.8</v>
      </c>
      <c r="AD90" s="205">
        <f t="shared" si="13"/>
        <v>72939.899999999994</v>
      </c>
      <c r="AE90" s="204">
        <f>SUM(AC90*'Factors &amp; Percentages'!$E$27+AD90*'Factors &amp; Percentages'!$E$28)</f>
        <v>9169.9034740036514</v>
      </c>
      <c r="AF90" s="16"/>
      <c r="AG90" s="125">
        <v>0.66</v>
      </c>
      <c r="AH90" s="204">
        <f>AG90*'Factors &amp; Percentages'!$E$31</f>
        <v>8645.8984185786267</v>
      </c>
      <c r="AI90" s="18"/>
      <c r="AJ90" s="126">
        <v>576</v>
      </c>
      <c r="AK90" s="204">
        <f>AJ90*'Factors &amp; Percentages'!$E$34</f>
        <v>1205.2051543517171</v>
      </c>
      <c r="AL90" s="18"/>
      <c r="AM90" s="124">
        <v>41</v>
      </c>
      <c r="AN90" s="211">
        <v>50</v>
      </c>
      <c r="AO90" s="124">
        <v>52</v>
      </c>
      <c r="AP90" s="212">
        <v>52</v>
      </c>
      <c r="AQ90" s="135">
        <v>11490</v>
      </c>
      <c r="AR90" s="179">
        <f t="shared" si="14"/>
        <v>11490</v>
      </c>
      <c r="AS90" s="205">
        <f>AN90*'Factors &amp; Percentages'!$E$37+AP90*'Factors &amp; Percentages'!$E$38+AR90*'Factors &amp; Percentages'!$E$39</f>
        <v>9776.931262093005</v>
      </c>
      <c r="AT90" s="18"/>
      <c r="AU90" s="203">
        <f t="shared" si="15"/>
        <v>28797.938309026998</v>
      </c>
      <c r="AV90" s="213">
        <f t="shared" si="17"/>
        <v>28797.938309026998</v>
      </c>
      <c r="AW90" s="196">
        <f>IF($BG90&gt;$AV90,$BG90*(1+'Factors &amp; Percentages'!$B$24),
IF($AU90&gt;$AV90,$AV90,
IF($AU90&gt;$BG90,$AU90,
$BG90*(1+'Factors &amp; Percentages'!$B$24))))</f>
        <v>28797.938309026998</v>
      </c>
      <c r="AX90" s="185">
        <f t="shared" si="16"/>
        <v>28797.938309026998</v>
      </c>
      <c r="AY90" s="127"/>
      <c r="AZ90" s="27"/>
      <c r="BA90" s="223">
        <v>26087.9494027693</v>
      </c>
      <c r="BB90" s="185">
        <v>23651</v>
      </c>
      <c r="BC90" s="204">
        <v>31412</v>
      </c>
      <c r="BD90" s="218">
        <v>27925.95</v>
      </c>
      <c r="BE90" s="224">
        <v>32516.278564074964</v>
      </c>
      <c r="BF90" s="219"/>
      <c r="BG90" s="221">
        <v>15660</v>
      </c>
      <c r="BH90" s="226">
        <v>14772</v>
      </c>
      <c r="BI90" s="220">
        <v>13437</v>
      </c>
      <c r="BJ90" s="227">
        <v>27295</v>
      </c>
      <c r="BK90" s="221">
        <v>26500</v>
      </c>
      <c r="BL90" s="128">
        <v>25800</v>
      </c>
      <c r="BM90" s="128">
        <v>25240</v>
      </c>
    </row>
    <row r="91" spans="1:65" x14ac:dyDescent="0.3">
      <c r="A91" s="111" t="s">
        <v>383</v>
      </c>
      <c r="B91" s="111" t="s">
        <v>384</v>
      </c>
      <c r="C91" s="112" t="s">
        <v>151</v>
      </c>
      <c r="D91" s="113" t="s">
        <v>279</v>
      </c>
      <c r="E91" s="113" t="s">
        <v>145</v>
      </c>
      <c r="F91" s="111"/>
      <c r="G91" s="46">
        <f t="shared" si="18"/>
        <v>24197.086883562373</v>
      </c>
      <c r="H91" s="111"/>
      <c r="I91" s="114">
        <v>63539</v>
      </c>
      <c r="J91" s="47">
        <v>80633</v>
      </c>
      <c r="K91" s="47">
        <v>73418</v>
      </c>
      <c r="L91" s="47">
        <v>51951</v>
      </c>
      <c r="M91" s="47">
        <v>56172</v>
      </c>
      <c r="N91" s="114">
        <v>76597</v>
      </c>
      <c r="O91" s="47">
        <v>109387</v>
      </c>
      <c r="P91" s="47">
        <v>72897</v>
      </c>
      <c r="Q91" s="115">
        <v>172513</v>
      </c>
      <c r="R91" s="47">
        <v>174574</v>
      </c>
      <c r="S91" s="47"/>
      <c r="T91" s="114">
        <v>32500</v>
      </c>
      <c r="U91" s="47">
        <v>51512</v>
      </c>
      <c r="V91" s="47">
        <v>64144</v>
      </c>
      <c r="W91" s="47">
        <v>5100</v>
      </c>
      <c r="X91" s="114">
        <v>2016</v>
      </c>
      <c r="Y91" s="47">
        <v>279</v>
      </c>
      <c r="Z91" s="47">
        <v>4100</v>
      </c>
      <c r="AA91" s="47">
        <v>0</v>
      </c>
      <c r="AB91" s="47"/>
      <c r="AC91" s="16">
        <f t="shared" si="12"/>
        <v>63740.6</v>
      </c>
      <c r="AD91" s="16">
        <f t="shared" si="13"/>
        <v>79847</v>
      </c>
      <c r="AE91" s="16">
        <f>SUM(AC91*'Factors &amp; Percentages'!$E$27+AD91*'Factors &amp; Percentages'!$E$28)</f>
        <v>11148.581960694981</v>
      </c>
      <c r="AF91" s="16"/>
      <c r="AG91" s="101">
        <v>0.5</v>
      </c>
      <c r="AH91" s="18">
        <f>AG91*'Factors &amp; Percentages'!$E$31</f>
        <v>6549.9230443777469</v>
      </c>
      <c r="AI91" s="18"/>
      <c r="AJ91" s="18">
        <v>224</v>
      </c>
      <c r="AK91" s="18">
        <f>AJ91*'Factors &amp; Percentages'!$E$34</f>
        <v>468.69089335900105</v>
      </c>
      <c r="AL91" s="18"/>
      <c r="AM91" s="139">
        <v>48</v>
      </c>
      <c r="AN91" s="30">
        <v>40</v>
      </c>
      <c r="AO91" s="30">
        <v>91</v>
      </c>
      <c r="AP91" s="116">
        <v>0</v>
      </c>
      <c r="AQ91" s="115">
        <v>5195</v>
      </c>
      <c r="AR91" s="115">
        <f t="shared" si="14"/>
        <v>5195</v>
      </c>
      <c r="AS91" s="18">
        <f>AN91*'Factors &amp; Percentages'!$E$37+AP91*'Factors &amp; Percentages'!$E$38+AR91*'Factors &amp; Percentages'!$E$39</f>
        <v>6029.8909851306416</v>
      </c>
      <c r="AT91" s="18"/>
      <c r="AU91" s="18">
        <f t="shared" si="15"/>
        <v>24197.086883562373</v>
      </c>
      <c r="AV91" s="69">
        <f t="shared" si="17"/>
        <v>24197.086883562373</v>
      </c>
      <c r="AW91" s="46">
        <f>IF($BG91&gt;$AV91,$BG91*(1+'Factors &amp; Percentages'!$B$24),
IF($AU91&gt;$AV91,$AV91,
IF($AU91&gt;$BG91,$AU91,
$BG91*(1+'Factors &amp; Percentages'!$B$24))))</f>
        <v>24197.086883562373</v>
      </c>
      <c r="AX91" s="46">
        <f t="shared" si="16"/>
        <v>24197.086883562373</v>
      </c>
      <c r="AY91" s="69"/>
      <c r="AZ91" s="27"/>
      <c r="BA91" s="21">
        <v>28462.034610093051</v>
      </c>
      <c r="BB91" s="46">
        <v>27300</v>
      </c>
      <c r="BC91" s="119">
        <v>33768</v>
      </c>
      <c r="BD91" s="120">
        <v>36511.800000000003</v>
      </c>
      <c r="BE91" s="120">
        <v>34917.773989208079</v>
      </c>
      <c r="BF91" s="69"/>
      <c r="BG91" s="73">
        <v>20000</v>
      </c>
      <c r="BH91" s="73">
        <v>26000</v>
      </c>
      <c r="BI91" s="117">
        <v>26000</v>
      </c>
      <c r="BJ91" s="118">
        <v>26000</v>
      </c>
      <c r="BK91" s="106">
        <v>24600</v>
      </c>
      <c r="BL91" s="106">
        <v>24600</v>
      </c>
      <c r="BM91" s="106">
        <v>24300</v>
      </c>
    </row>
    <row r="92" spans="1:65" x14ac:dyDescent="0.3">
      <c r="A92" s="121" t="s">
        <v>385</v>
      </c>
      <c r="B92" s="121" t="s">
        <v>386</v>
      </c>
      <c r="C92" s="174" t="s">
        <v>152</v>
      </c>
      <c r="D92" s="122" t="s">
        <v>279</v>
      </c>
      <c r="E92" s="173" t="s">
        <v>145</v>
      </c>
      <c r="F92" s="111"/>
      <c r="G92" s="185">
        <f t="shared" si="18"/>
        <v>28868.45</v>
      </c>
      <c r="H92" s="186"/>
      <c r="I92" s="187">
        <v>44413</v>
      </c>
      <c r="J92" s="188">
        <v>44110</v>
      </c>
      <c r="K92" s="189">
        <v>38924</v>
      </c>
      <c r="L92" s="123">
        <v>41121</v>
      </c>
      <c r="M92" s="123">
        <v>43865</v>
      </c>
      <c r="N92" s="190">
        <v>13189</v>
      </c>
      <c r="O92" s="189">
        <v>24070</v>
      </c>
      <c r="P92" s="188">
        <v>17741</v>
      </c>
      <c r="Q92" s="208">
        <v>18499</v>
      </c>
      <c r="R92" s="123">
        <v>25698</v>
      </c>
      <c r="S92" s="188"/>
      <c r="T92" s="187">
        <v>21332</v>
      </c>
      <c r="U92" s="188">
        <v>9233</v>
      </c>
      <c r="V92" s="189">
        <v>7315</v>
      </c>
      <c r="W92" s="123">
        <v>8160</v>
      </c>
      <c r="X92" s="190">
        <v>5105</v>
      </c>
      <c r="Y92" s="189">
        <v>5817</v>
      </c>
      <c r="Z92" s="188">
        <v>3917</v>
      </c>
      <c r="AA92" s="123">
        <v>3452</v>
      </c>
      <c r="AB92" s="191"/>
      <c r="AC92" s="204">
        <f t="shared" si="12"/>
        <v>44923.5</v>
      </c>
      <c r="AD92" s="205">
        <f t="shared" si="13"/>
        <v>15322.2</v>
      </c>
      <c r="AE92" s="204">
        <f>SUM(AC92*'Factors &amp; Percentages'!$E$27+AD92*'Factors &amp; Percentages'!$E$28)</f>
        <v>5106.0634788697362</v>
      </c>
      <c r="AF92" s="16"/>
      <c r="AG92" s="125">
        <v>0.66</v>
      </c>
      <c r="AH92" s="204">
        <f>AG92*'Factors &amp; Percentages'!$E$31</f>
        <v>8645.8984185786267</v>
      </c>
      <c r="AI92" s="18"/>
      <c r="AJ92" s="126">
        <v>3606</v>
      </c>
      <c r="AK92" s="204">
        <f>AJ92*'Factors &amp; Percentages'!$E$34</f>
        <v>7545.0864350560614</v>
      </c>
      <c r="AL92" s="18"/>
      <c r="AM92" s="130">
        <v>30</v>
      </c>
      <c r="AN92" s="211">
        <v>35</v>
      </c>
      <c r="AO92" s="124">
        <v>66</v>
      </c>
      <c r="AP92" s="212">
        <v>65</v>
      </c>
      <c r="AQ92" s="135">
        <v>10413</v>
      </c>
      <c r="AR92" s="179">
        <f t="shared" si="14"/>
        <v>10413</v>
      </c>
      <c r="AS92" s="205">
        <f>AN92*'Factors &amp; Percentages'!$E$37+AP92*'Factors &amp; Percentages'!$E$38+AR92*'Factors &amp; Percentages'!$E$39</f>
        <v>7998.4389108474297</v>
      </c>
      <c r="AT92" s="18"/>
      <c r="AU92" s="203">
        <f t="shared" si="15"/>
        <v>29295.487243351854</v>
      </c>
      <c r="AV92" s="213">
        <f t="shared" si="17"/>
        <v>28868.45</v>
      </c>
      <c r="AW92" s="196">
        <f>IF($BG92&gt;$AV92,$BG92*(1+'Factors &amp; Percentages'!$B$24),
IF($AU92&gt;$AV92,$AV92,
IF($AU92&gt;$BG92,$AU92,
$BG92*(1+'Factors &amp; Percentages'!$B$24))))</f>
        <v>28868.45</v>
      </c>
      <c r="AX92" s="185">
        <f t="shared" si="16"/>
        <v>28868.45</v>
      </c>
      <c r="AY92" s="127"/>
      <c r="AZ92" s="27"/>
      <c r="BA92" s="223">
        <v>26796.877894760015</v>
      </c>
      <c r="BB92" s="185">
        <v>23599</v>
      </c>
      <c r="BC92" s="204">
        <v>26729</v>
      </c>
      <c r="BD92" s="218">
        <v>28512.25</v>
      </c>
      <c r="BE92" s="224">
        <v>31175.585370462719</v>
      </c>
      <c r="BF92" s="219"/>
      <c r="BG92" s="221">
        <v>15180</v>
      </c>
      <c r="BH92" s="226">
        <v>14300</v>
      </c>
      <c r="BI92" s="220">
        <v>12000</v>
      </c>
      <c r="BJ92" s="227">
        <v>16000</v>
      </c>
      <c r="BK92" s="221">
        <v>28280</v>
      </c>
      <c r="BL92" s="128">
        <v>28000</v>
      </c>
      <c r="BM92" s="128">
        <v>27729</v>
      </c>
    </row>
    <row r="93" spans="1:65" x14ac:dyDescent="0.3">
      <c r="A93" s="111" t="s">
        <v>387</v>
      </c>
      <c r="B93" s="111" t="s">
        <v>388</v>
      </c>
      <c r="C93" s="112" t="s">
        <v>153</v>
      </c>
      <c r="D93" s="113" t="s">
        <v>279</v>
      </c>
      <c r="E93" s="113" t="s">
        <v>145</v>
      </c>
      <c r="F93" s="111"/>
      <c r="G93" s="46">
        <f t="shared" si="18"/>
        <v>17200.3</v>
      </c>
      <c r="H93" s="111"/>
      <c r="I93" s="114">
        <v>26462</v>
      </c>
      <c r="J93" s="47">
        <v>19253</v>
      </c>
      <c r="K93" s="47">
        <v>24149</v>
      </c>
      <c r="L93" s="47">
        <v>17469</v>
      </c>
      <c r="M93" s="47">
        <v>24676</v>
      </c>
      <c r="N93" s="114">
        <v>23013</v>
      </c>
      <c r="O93" s="47">
        <v>31157</v>
      </c>
      <c r="P93" s="47">
        <v>28786</v>
      </c>
      <c r="Q93" s="115">
        <v>26932</v>
      </c>
      <c r="R93" s="47">
        <v>17407</v>
      </c>
      <c r="S93" s="47"/>
      <c r="T93" s="114">
        <v>27201</v>
      </c>
      <c r="U93" s="47">
        <v>30074</v>
      </c>
      <c r="V93" s="47">
        <v>40427</v>
      </c>
      <c r="W93" s="47">
        <v>52035</v>
      </c>
      <c r="X93" s="114">
        <v>50</v>
      </c>
      <c r="Y93" s="47">
        <v>180</v>
      </c>
      <c r="Z93" s="47">
        <v>345</v>
      </c>
      <c r="AA93" s="47">
        <v>20500</v>
      </c>
      <c r="AB93" s="47"/>
      <c r="AC93" s="16">
        <f t="shared" si="12"/>
        <v>26467</v>
      </c>
      <c r="AD93" s="16">
        <f t="shared" si="13"/>
        <v>25733.1</v>
      </c>
      <c r="AE93" s="16">
        <f>SUM(AC93*'Factors &amp; Percentages'!$E$27+AD93*'Factors &amp; Percentages'!$E$28)</f>
        <v>4130.613982643642</v>
      </c>
      <c r="AF93" s="16"/>
      <c r="AG93" s="101">
        <v>0.5</v>
      </c>
      <c r="AH93" s="18">
        <f>AG93*'Factors &amp; Percentages'!$E$31</f>
        <v>6549.9230443777469</v>
      </c>
      <c r="AI93" s="18"/>
      <c r="AJ93" s="18">
        <v>168</v>
      </c>
      <c r="AK93" s="18">
        <f>AJ93*'Factors &amp; Percentages'!$E$34</f>
        <v>351.51817001925082</v>
      </c>
      <c r="AL93" s="18"/>
      <c r="AM93" s="30">
        <v>35</v>
      </c>
      <c r="AN93" s="30">
        <v>30</v>
      </c>
      <c r="AO93" s="30">
        <v>51</v>
      </c>
      <c r="AP93" s="116">
        <v>50</v>
      </c>
      <c r="AQ93" s="115">
        <v>7352</v>
      </c>
      <c r="AR93" s="115">
        <f t="shared" si="14"/>
        <v>7352</v>
      </c>
      <c r="AS93" s="18">
        <f>AN93*'Factors &amp; Percentages'!$E$37+AP93*'Factors &amp; Percentages'!$E$38+AR93*'Factors &amp; Percentages'!$E$39</f>
        <v>6400.5172474555566</v>
      </c>
      <c r="AT93" s="18"/>
      <c r="AU93" s="18">
        <f t="shared" si="15"/>
        <v>17432.572444496196</v>
      </c>
      <c r="AV93" s="69">
        <f t="shared" si="17"/>
        <v>17200.3</v>
      </c>
      <c r="AW93" s="46">
        <f>IF($BG93&gt;$AV93,$BG93*(1+'Factors &amp; Percentages'!$B$24),
IF($AU93&gt;$AV93,$AV93,
IF($AU93&gt;$BG93,$AU93,
$BG93*(1+'Factors &amp; Percentages'!$B$24))))</f>
        <v>17200.3</v>
      </c>
      <c r="AX93" s="46">
        <f t="shared" si="16"/>
        <v>17200.3</v>
      </c>
      <c r="AY93" s="69"/>
      <c r="AZ93" s="27"/>
      <c r="BA93" s="21">
        <v>16420.886929589393</v>
      </c>
      <c r="BB93" s="46">
        <v>15331</v>
      </c>
      <c r="BC93" s="119">
        <v>13125</v>
      </c>
      <c r="BD93" s="120">
        <v>16039.400000000001</v>
      </c>
      <c r="BE93" s="120">
        <v>17628.5</v>
      </c>
      <c r="BF93" s="69"/>
      <c r="BG93" s="73">
        <v>15000</v>
      </c>
      <c r="BH93" s="73">
        <v>14000</v>
      </c>
      <c r="BI93" s="117">
        <v>13125</v>
      </c>
      <c r="BJ93" s="118">
        <v>12500</v>
      </c>
      <c r="BK93" s="106">
        <v>12500</v>
      </c>
      <c r="BL93" s="106">
        <v>12500</v>
      </c>
      <c r="BM93" s="106">
        <v>12500</v>
      </c>
    </row>
    <row r="94" spans="1:65" x14ac:dyDescent="0.3">
      <c r="A94" s="121" t="s">
        <v>389</v>
      </c>
      <c r="B94" s="121" t="s">
        <v>390</v>
      </c>
      <c r="C94" s="174" t="s">
        <v>154</v>
      </c>
      <c r="D94" s="122" t="s">
        <v>279</v>
      </c>
      <c r="E94" s="173" t="s">
        <v>145</v>
      </c>
      <c r="F94" s="111"/>
      <c r="G94" s="185">
        <f t="shared" si="18"/>
        <v>24884.367164577608</v>
      </c>
      <c r="H94" s="186"/>
      <c r="I94" s="187">
        <v>28664</v>
      </c>
      <c r="J94" s="188">
        <v>23490</v>
      </c>
      <c r="K94" s="189">
        <v>24933</v>
      </c>
      <c r="L94" s="123">
        <v>21826</v>
      </c>
      <c r="M94" s="123">
        <v>20306</v>
      </c>
      <c r="N94" s="190">
        <v>135483</v>
      </c>
      <c r="O94" s="189">
        <v>108381</v>
      </c>
      <c r="P94" s="188">
        <v>118503</v>
      </c>
      <c r="Q94" s="208">
        <v>41508</v>
      </c>
      <c r="R94" s="123">
        <v>61406</v>
      </c>
      <c r="S94" s="188"/>
      <c r="T94" s="187">
        <v>996</v>
      </c>
      <c r="U94" s="188">
        <v>875</v>
      </c>
      <c r="V94" s="189">
        <v>739</v>
      </c>
      <c r="W94" s="123">
        <v>0</v>
      </c>
      <c r="X94" s="190">
        <v>364</v>
      </c>
      <c r="Y94" s="189">
        <v>469</v>
      </c>
      <c r="Z94" s="188">
        <v>38</v>
      </c>
      <c r="AA94" s="123">
        <v>232</v>
      </c>
      <c r="AB94" s="191"/>
      <c r="AC94" s="204">
        <f t="shared" si="12"/>
        <v>28700.400000000001</v>
      </c>
      <c r="AD94" s="205">
        <f t="shared" si="13"/>
        <v>135582.6</v>
      </c>
      <c r="AE94" s="204">
        <f>SUM(AC94*'Factors &amp; Percentages'!$E$27+AD94*'Factors &amp; Percentages'!$E$28)</f>
        <v>11713.220480385231</v>
      </c>
      <c r="AF94" s="16"/>
      <c r="AG94" s="125">
        <v>0.5</v>
      </c>
      <c r="AH94" s="204">
        <f>AG94*'Factors &amp; Percentages'!$E$31</f>
        <v>6549.9230443777469</v>
      </c>
      <c r="AI94" s="18"/>
      <c r="AJ94" s="126">
        <v>357</v>
      </c>
      <c r="AK94" s="204">
        <f>AJ94*'Factors &amp; Percentages'!$E$34</f>
        <v>746.97611129090797</v>
      </c>
      <c r="AL94" s="18"/>
      <c r="AM94" s="124">
        <v>28</v>
      </c>
      <c r="AN94" s="211">
        <v>28</v>
      </c>
      <c r="AO94" s="124">
        <v>52</v>
      </c>
      <c r="AP94" s="212">
        <v>53</v>
      </c>
      <c r="AQ94" s="135">
        <v>5647</v>
      </c>
      <c r="AR94" s="179">
        <f t="shared" si="14"/>
        <v>5647</v>
      </c>
      <c r="AS94" s="205">
        <f>AN94*'Factors &amp; Percentages'!$E$37+AP94*'Factors &amp; Percentages'!$E$38+AR94*'Factors &amp; Percentages'!$E$39</f>
        <v>5874.2475285237233</v>
      </c>
      <c r="AT94" s="18"/>
      <c r="AU94" s="203">
        <f t="shared" si="15"/>
        <v>24884.367164577608</v>
      </c>
      <c r="AV94" s="213">
        <f t="shared" si="17"/>
        <v>24884.367164577608</v>
      </c>
      <c r="AW94" s="196">
        <f>IF($BG94&gt;$AV94,$BG94*(1+'Factors &amp; Percentages'!$B$24),
IF($AU94&gt;$AV94,$AV94,
IF($AU94&gt;$BG94,$AU94,
$BG94*(1+'Factors &amp; Percentages'!$B$24))))</f>
        <v>24884.367164577608</v>
      </c>
      <c r="AX94" s="185">
        <f t="shared" si="16"/>
        <v>24884.367164577608</v>
      </c>
      <c r="AY94" s="127"/>
      <c r="AZ94" s="27"/>
      <c r="BA94" s="223">
        <v>20493.90959898795</v>
      </c>
      <c r="BB94" s="185">
        <v>20734</v>
      </c>
      <c r="BC94" s="204">
        <v>14187</v>
      </c>
      <c r="BD94" s="218">
        <v>13198.9</v>
      </c>
      <c r="BE94" s="224">
        <v>28749.393158946936</v>
      </c>
      <c r="BF94" s="219"/>
      <c r="BG94" s="221">
        <v>15000</v>
      </c>
      <c r="BH94" s="226">
        <v>14000</v>
      </c>
      <c r="BI94" s="220">
        <v>14187</v>
      </c>
      <c r="BJ94" s="227">
        <v>12000</v>
      </c>
      <c r="BK94" s="221">
        <v>12000</v>
      </c>
      <c r="BL94" s="128">
        <v>12750</v>
      </c>
      <c r="BM94" s="128">
        <v>12750</v>
      </c>
    </row>
    <row r="95" spans="1:65" x14ac:dyDescent="0.3">
      <c r="A95" s="111" t="s">
        <v>391</v>
      </c>
      <c r="B95" s="111" t="s">
        <v>392</v>
      </c>
      <c r="C95" s="112" t="s">
        <v>163</v>
      </c>
      <c r="D95" s="113" t="s">
        <v>302</v>
      </c>
      <c r="E95" s="113" t="s">
        <v>317</v>
      </c>
      <c r="F95" s="111"/>
      <c r="G95" s="46">
        <f t="shared" si="18"/>
        <v>37548.194234845156</v>
      </c>
      <c r="H95" s="111"/>
      <c r="I95" s="114">
        <v>69749</v>
      </c>
      <c r="J95" s="47">
        <v>70650</v>
      </c>
      <c r="K95" s="47">
        <v>70708</v>
      </c>
      <c r="L95" s="47">
        <v>74705</v>
      </c>
      <c r="M95" s="47">
        <v>47083</v>
      </c>
      <c r="N95" s="114">
        <v>39550</v>
      </c>
      <c r="O95" s="47">
        <v>60988</v>
      </c>
      <c r="P95" s="47">
        <v>91540</v>
      </c>
      <c r="Q95" s="115">
        <v>23047</v>
      </c>
      <c r="R95" s="47">
        <v>10258</v>
      </c>
      <c r="S95" s="47"/>
      <c r="T95" s="114">
        <v>39777</v>
      </c>
      <c r="U95" s="47">
        <v>30000</v>
      </c>
      <c r="V95" s="47">
        <v>39777</v>
      </c>
      <c r="W95" s="47">
        <v>92977</v>
      </c>
      <c r="X95" s="114">
        <v>0</v>
      </c>
      <c r="Y95" s="47">
        <v>0</v>
      </c>
      <c r="Z95" s="47">
        <v>0</v>
      </c>
      <c r="AA95" s="47">
        <v>0</v>
      </c>
      <c r="AB95" s="47"/>
      <c r="AC95" s="16">
        <f t="shared" si="12"/>
        <v>69749</v>
      </c>
      <c r="AD95" s="16">
        <f t="shared" si="13"/>
        <v>43527.7</v>
      </c>
      <c r="AE95" s="16">
        <f>SUM(AC95*'Factors &amp; Percentages'!$E$27+AD95*'Factors &amp; Percentages'!$E$28)</f>
        <v>9253.8171251675685</v>
      </c>
      <c r="AF95" s="16"/>
      <c r="AG95" s="101">
        <v>0.5</v>
      </c>
      <c r="AH95" s="18">
        <f>AG95*'Factors &amp; Percentages'!$E$31</f>
        <v>6549.9230443777469</v>
      </c>
      <c r="AI95" s="18"/>
      <c r="AJ95" s="18">
        <v>6053</v>
      </c>
      <c r="AK95" s="18">
        <f>AJ95*'Factors &amp; Percentages'!$E$34</f>
        <v>12665.115970991221</v>
      </c>
      <c r="AL95" s="18"/>
      <c r="AM95" s="30">
        <v>40</v>
      </c>
      <c r="AN95" s="30">
        <v>43</v>
      </c>
      <c r="AO95" s="30">
        <v>72</v>
      </c>
      <c r="AP95" s="116">
        <v>80</v>
      </c>
      <c r="AQ95" s="115">
        <v>9117</v>
      </c>
      <c r="AR95" s="115">
        <f t="shared" si="14"/>
        <v>9117</v>
      </c>
      <c r="AS95" s="18">
        <f>AN95*'Factors &amp; Percentages'!$E$37+AP95*'Factors &amp; Percentages'!$E$38+AR95*'Factors &amp; Percentages'!$E$39</f>
        <v>9079.3380943086195</v>
      </c>
      <c r="AT95" s="18"/>
      <c r="AU95" s="18">
        <f t="shared" si="15"/>
        <v>37548.194234845156</v>
      </c>
      <c r="AV95" s="69">
        <f t="shared" si="17"/>
        <v>37548.194234845156</v>
      </c>
      <c r="AW95" s="46">
        <f>IF($BG95&gt;$AV95,$BG95*(1+'Factors &amp; Percentages'!$B$24),
IF($AU95&gt;$AV95,$AV95,
IF($AU95&gt;$BG95,$AU95,
$BG95*(1+'Factors &amp; Percentages'!$B$24))))</f>
        <v>37548.194234845156</v>
      </c>
      <c r="AX95" s="46">
        <f t="shared" si="16"/>
        <v>37548.194234845156</v>
      </c>
      <c r="AY95" s="69"/>
      <c r="AZ95" s="27"/>
      <c r="BA95" s="21">
        <v>36834.259272718147</v>
      </c>
      <c r="BB95" s="46">
        <v>34686</v>
      </c>
      <c r="BC95" s="119">
        <v>48558</v>
      </c>
      <c r="BD95" s="120">
        <v>30603.95</v>
      </c>
      <c r="BE95" s="120">
        <v>38085.200000000004</v>
      </c>
      <c r="BF95" s="69"/>
      <c r="BG95" s="73">
        <v>36000</v>
      </c>
      <c r="BH95" s="73">
        <v>34686</v>
      </c>
      <c r="BI95" s="117">
        <v>33665</v>
      </c>
      <c r="BJ95" s="118">
        <v>30604</v>
      </c>
      <c r="BK95" s="106">
        <v>28000</v>
      </c>
      <c r="BL95" s="106">
        <v>36000</v>
      </c>
      <c r="BM95" s="106">
        <v>36000</v>
      </c>
    </row>
    <row r="96" spans="1:65" x14ac:dyDescent="0.3">
      <c r="A96" s="121" t="s">
        <v>236</v>
      </c>
      <c r="B96" s="121" t="s">
        <v>236</v>
      </c>
      <c r="C96" s="174" t="s">
        <v>236</v>
      </c>
      <c r="D96" s="122" t="s">
        <v>302</v>
      </c>
      <c r="E96" s="173" t="s">
        <v>112</v>
      </c>
      <c r="F96" s="111"/>
      <c r="G96" s="185">
        <f t="shared" si="18"/>
        <v>4954.95</v>
      </c>
      <c r="H96" s="186"/>
      <c r="I96" s="187">
        <v>7623</v>
      </c>
      <c r="J96" s="188">
        <v>7623</v>
      </c>
      <c r="K96" s="189">
        <v>7623</v>
      </c>
      <c r="L96" s="123">
        <v>10974</v>
      </c>
      <c r="M96" s="123">
        <v>10974</v>
      </c>
      <c r="N96" s="190">
        <v>2099</v>
      </c>
      <c r="O96" s="189">
        <v>2099</v>
      </c>
      <c r="P96" s="188">
        <v>2099</v>
      </c>
      <c r="Q96" s="208">
        <v>3799</v>
      </c>
      <c r="R96" s="123">
        <v>3799</v>
      </c>
      <c r="S96" s="188"/>
      <c r="T96" s="187">
        <v>8721</v>
      </c>
      <c r="U96" s="188">
        <v>8721</v>
      </c>
      <c r="V96" s="189">
        <v>8721</v>
      </c>
      <c r="W96" s="123">
        <v>7612</v>
      </c>
      <c r="X96" s="190">
        <v>4818</v>
      </c>
      <c r="Y96" s="189">
        <v>4818</v>
      </c>
      <c r="Z96" s="188">
        <v>4818</v>
      </c>
      <c r="AA96" s="123">
        <v>366</v>
      </c>
      <c r="AB96" s="191"/>
      <c r="AC96" s="204">
        <f t="shared" si="12"/>
        <v>8104.8</v>
      </c>
      <c r="AD96" s="205">
        <f t="shared" si="13"/>
        <v>2971.1</v>
      </c>
      <c r="AE96" s="204">
        <f>SUM(AC96*'Factors &amp; Percentages'!$E$27+AD96*'Factors &amp; Percentages'!$E$28)</f>
        <v>935.09339923796256</v>
      </c>
      <c r="AF96" s="16"/>
      <c r="AG96" s="125">
        <v>0.2</v>
      </c>
      <c r="AH96" s="204">
        <f>AG96*'Factors &amp; Percentages'!$E$31</f>
        <v>2619.9692177510988</v>
      </c>
      <c r="AI96" s="18"/>
      <c r="AJ96" s="126">
        <v>455</v>
      </c>
      <c r="AK96" s="204">
        <f>AJ96*'Factors &amp; Percentages'!$E$34</f>
        <v>952.02837713547092</v>
      </c>
      <c r="AL96" s="18"/>
      <c r="AM96" s="124">
        <v>16</v>
      </c>
      <c r="AN96" s="211">
        <v>16</v>
      </c>
      <c r="AO96" s="124">
        <v>27</v>
      </c>
      <c r="AP96" s="212">
        <v>27</v>
      </c>
      <c r="AQ96" s="135">
        <v>1762</v>
      </c>
      <c r="AR96" s="179">
        <f t="shared" si="14"/>
        <v>1762</v>
      </c>
      <c r="AS96" s="205">
        <f>AN96*'Factors &amp; Percentages'!$E$37+AP96*'Factors &amp; Percentages'!$E$38+AR96*'Factors &amp; Percentages'!$E$39</f>
        <v>2980.5424184291487</v>
      </c>
      <c r="AT96" s="18"/>
      <c r="AU96" s="203">
        <f t="shared" si="15"/>
        <v>7487.6334125536805</v>
      </c>
      <c r="AV96" s="213">
        <f t="shared" si="17"/>
        <v>4954.95</v>
      </c>
      <c r="AW96" s="196">
        <f>IF($BG96&gt;$AV96,$BG96*(1+'Factors &amp; Percentages'!$B$24),
IF($AU96&gt;$AV96,$AV96,
IF($AU96&gt;$BG96,$AU96,
$BG96*(1+'Factors &amp; Percentages'!$B$24))))</f>
        <v>4954.95</v>
      </c>
      <c r="AX96" s="185">
        <f t="shared" si="16"/>
        <v>4954.95</v>
      </c>
      <c r="AY96" s="127"/>
      <c r="AZ96" s="27"/>
      <c r="BA96" s="223">
        <v>4954.95</v>
      </c>
      <c r="BB96" s="185">
        <v>7054.6290018472819</v>
      </c>
      <c r="BC96" s="204">
        <v>7133</v>
      </c>
      <c r="BD96" s="218">
        <v>7133.1</v>
      </c>
      <c r="BE96" s="225">
        <v>8475.7249999999985</v>
      </c>
      <c r="BF96" s="219"/>
      <c r="BG96" s="221">
        <v>3800</v>
      </c>
      <c r="BH96" s="226">
        <v>3600</v>
      </c>
      <c r="BI96" s="220">
        <v>4000</v>
      </c>
      <c r="BJ96" s="227">
        <v>3308</v>
      </c>
      <c r="BK96" s="221">
        <v>3307</v>
      </c>
      <c r="BL96" s="128">
        <v>8269</v>
      </c>
      <c r="BM96" s="128">
        <v>7875</v>
      </c>
    </row>
    <row r="97" spans="1:65" x14ac:dyDescent="0.3">
      <c r="A97" s="111" t="s">
        <v>82</v>
      </c>
      <c r="B97" s="111" t="s">
        <v>393</v>
      </c>
      <c r="C97" s="112" t="s">
        <v>82</v>
      </c>
      <c r="D97" s="113" t="s">
        <v>279</v>
      </c>
      <c r="E97" s="113" t="s">
        <v>314</v>
      </c>
      <c r="F97" s="111"/>
      <c r="G97" s="46">
        <f t="shared" si="18"/>
        <v>57881.25</v>
      </c>
      <c r="H97" s="111"/>
      <c r="I97" s="114">
        <v>104803</v>
      </c>
      <c r="J97" s="47">
        <v>123338</v>
      </c>
      <c r="K97" s="47">
        <v>98068</v>
      </c>
      <c r="L97" s="47">
        <v>81177</v>
      </c>
      <c r="M97" s="47">
        <v>85723</v>
      </c>
      <c r="N97" s="114">
        <v>11315</v>
      </c>
      <c r="O97" s="47">
        <v>27849</v>
      </c>
      <c r="P97" s="47">
        <v>13131</v>
      </c>
      <c r="Q97" s="115">
        <v>7821</v>
      </c>
      <c r="R97" s="47">
        <v>17263</v>
      </c>
      <c r="S97" s="47"/>
      <c r="T97" s="114">
        <v>91846</v>
      </c>
      <c r="U97" s="47">
        <v>87988</v>
      </c>
      <c r="V97" s="47">
        <v>76127</v>
      </c>
      <c r="W97" s="47">
        <v>65784</v>
      </c>
      <c r="X97" s="114">
        <v>38782</v>
      </c>
      <c r="Y97" s="47">
        <v>52033</v>
      </c>
      <c r="Z97" s="47">
        <v>40157</v>
      </c>
      <c r="AA97" s="47">
        <v>61248</v>
      </c>
      <c r="AB97" s="47"/>
      <c r="AC97" s="16">
        <f t="shared" si="12"/>
        <v>108681.2</v>
      </c>
      <c r="AD97" s="16">
        <f t="shared" si="13"/>
        <v>20499.599999999999</v>
      </c>
      <c r="AE97" s="16">
        <f>SUM(AC97*'Factors &amp; Percentages'!$E$27+AD97*'Factors &amp; Percentages'!$E$28)</f>
        <v>11239.728876762065</v>
      </c>
      <c r="AF97" s="16"/>
      <c r="AG97" s="101">
        <v>0.9</v>
      </c>
      <c r="AH97" s="18">
        <f>AG97*'Factors &amp; Percentages'!$E$31</f>
        <v>11789.861479879944</v>
      </c>
      <c r="AI97" s="18"/>
      <c r="AJ97" s="18">
        <v>1483</v>
      </c>
      <c r="AK97" s="18">
        <f>AJ97*'Factors &amp; Percentages'!$E$34</f>
        <v>3102.9847984437438</v>
      </c>
      <c r="AL97" s="18"/>
      <c r="AM97" s="30">
        <v>55</v>
      </c>
      <c r="AN97" s="30">
        <v>57</v>
      </c>
      <c r="AO97" s="30">
        <v>117</v>
      </c>
      <c r="AP97" s="116">
        <v>122</v>
      </c>
      <c r="AQ97" s="115">
        <v>12466</v>
      </c>
      <c r="AR97" s="115">
        <f t="shared" si="14"/>
        <v>12466</v>
      </c>
      <c r="AS97" s="18">
        <f>AN97*'Factors &amp; Percentages'!$E$37+AP97*'Factors &amp; Percentages'!$E$38+AR97*'Factors &amp; Percentages'!$E$39</f>
        <v>12487.223364733225</v>
      </c>
      <c r="AT97" s="18"/>
      <c r="AU97" s="18">
        <f t="shared" si="15"/>
        <v>38619.798519818978</v>
      </c>
      <c r="AV97" s="69">
        <f t="shared" si="17"/>
        <v>38619.798519818978</v>
      </c>
      <c r="AW97" s="46">
        <f>IF($BG97&gt;$AV97,$BG97*(1+'Factors &amp; Percentages'!$B$24),
IF($AU97&gt;$AV97,$AV97,
IF($AU97&gt;$BG97,$AU97,
$BG97*(1+'Factors &amp; Percentages'!$B$24))))</f>
        <v>57881.25</v>
      </c>
      <c r="AX97" s="46">
        <f t="shared" si="16"/>
        <v>57881.25</v>
      </c>
      <c r="AY97" s="69"/>
      <c r="AZ97" s="27"/>
      <c r="BA97" s="21">
        <v>55125</v>
      </c>
      <c r="BB97" s="46">
        <v>52500</v>
      </c>
      <c r="BC97" s="119">
        <v>58506</v>
      </c>
      <c r="BD97" s="120">
        <v>63037.499999999993</v>
      </c>
      <c r="BE97" s="120">
        <v>61499.999999999993</v>
      </c>
      <c r="BF97" s="69"/>
      <c r="BG97" s="73">
        <v>55125</v>
      </c>
      <c r="BH97" s="73">
        <v>52500</v>
      </c>
      <c r="BI97" s="117">
        <v>50000</v>
      </c>
      <c r="BJ97" s="118">
        <v>55720</v>
      </c>
      <c r="BK97" s="106">
        <v>61500</v>
      </c>
      <c r="BL97" s="106">
        <v>60000</v>
      </c>
      <c r="BM97" s="106">
        <v>60000</v>
      </c>
    </row>
    <row r="98" spans="1:65" x14ac:dyDescent="0.3">
      <c r="A98" s="121" t="s">
        <v>394</v>
      </c>
      <c r="B98" s="121" t="s">
        <v>115</v>
      </c>
      <c r="C98" s="174" t="s">
        <v>115</v>
      </c>
      <c r="D98" s="122" t="s">
        <v>302</v>
      </c>
      <c r="E98" s="173" t="s">
        <v>112</v>
      </c>
      <c r="F98" s="111"/>
      <c r="G98" s="185">
        <f t="shared" si="18"/>
        <v>15554.7</v>
      </c>
      <c r="H98" s="186"/>
      <c r="I98" s="187">
        <v>14751</v>
      </c>
      <c r="J98" s="188">
        <v>16425</v>
      </c>
      <c r="K98" s="189">
        <v>19674</v>
      </c>
      <c r="L98" s="123">
        <v>14958</v>
      </c>
      <c r="M98" s="123">
        <v>19686</v>
      </c>
      <c r="N98" s="190">
        <v>32244</v>
      </c>
      <c r="O98" s="189">
        <v>35014</v>
      </c>
      <c r="P98" s="188">
        <v>38514</v>
      </c>
      <c r="Q98" s="208">
        <v>38099</v>
      </c>
      <c r="R98" s="123">
        <v>28613</v>
      </c>
      <c r="S98" s="188"/>
      <c r="T98" s="187">
        <v>0</v>
      </c>
      <c r="U98" s="188">
        <v>4146</v>
      </c>
      <c r="V98" s="189">
        <v>3599</v>
      </c>
      <c r="W98" s="123">
        <v>2440</v>
      </c>
      <c r="X98" s="190">
        <v>40</v>
      </c>
      <c r="Y98" s="189">
        <v>547</v>
      </c>
      <c r="Z98" s="188">
        <v>1173</v>
      </c>
      <c r="AA98" s="123">
        <v>1200</v>
      </c>
      <c r="AB98" s="191"/>
      <c r="AC98" s="204">
        <f t="shared" si="12"/>
        <v>14755</v>
      </c>
      <c r="AD98" s="205">
        <f t="shared" si="13"/>
        <v>32244</v>
      </c>
      <c r="AE98" s="204">
        <f>SUM(AC98*'Factors &amp; Percentages'!$E$27+AD98*'Factors &amp; Percentages'!$E$28)</f>
        <v>3505.1987491679483</v>
      </c>
      <c r="AF98" s="16"/>
      <c r="AG98" s="125">
        <v>0.2</v>
      </c>
      <c r="AH98" s="204">
        <f>AG98*'Factors &amp; Percentages'!$E$31</f>
        <v>2619.9692177510988</v>
      </c>
      <c r="AI98" s="18"/>
      <c r="AJ98" s="126">
        <v>2050</v>
      </c>
      <c r="AK98" s="204">
        <f>AJ98*'Factors &amp; Percentages'!$E$34</f>
        <v>4289.3586222587155</v>
      </c>
      <c r="AL98" s="18"/>
      <c r="AM98" s="124">
        <v>12</v>
      </c>
      <c r="AN98" s="211">
        <v>11</v>
      </c>
      <c r="AO98" s="124">
        <v>32</v>
      </c>
      <c r="AP98" s="212">
        <v>33</v>
      </c>
      <c r="AQ98" s="135">
        <v>450</v>
      </c>
      <c r="AR98" s="179">
        <f t="shared" si="14"/>
        <v>450</v>
      </c>
      <c r="AS98" s="205">
        <f>AN98*'Factors &amp; Percentages'!$E$37+AP98*'Factors &amp; Percentages'!$E$38+AR98*'Factors &amp; Percentages'!$E$39</f>
        <v>2232.1894137533827</v>
      </c>
      <c r="AT98" s="18"/>
      <c r="AU98" s="203">
        <f t="shared" si="15"/>
        <v>12646.716002931145</v>
      </c>
      <c r="AV98" s="213">
        <f t="shared" si="17"/>
        <v>12646.716002931145</v>
      </c>
      <c r="AW98" s="196">
        <f>IF($BG98&gt;$AV98,$BG98*(1+'Factors &amp; Percentages'!$B$24),
IF($AU98&gt;$AV98,$AV98,
IF($AU98&gt;$BG98,$AU98,
$BG98*(1+'Factors &amp; Percentages'!$B$24))))</f>
        <v>15554.7</v>
      </c>
      <c r="AX98" s="185">
        <f t="shared" si="16"/>
        <v>15554.7</v>
      </c>
      <c r="AY98" s="127"/>
      <c r="AZ98" s="27"/>
      <c r="BA98" s="223">
        <v>14813.400000000001</v>
      </c>
      <c r="BB98" s="185">
        <v>14107.800000000001</v>
      </c>
      <c r="BC98" s="204">
        <v>13436</v>
      </c>
      <c r="BD98" s="218">
        <v>12795.9</v>
      </c>
      <c r="BE98" s="224">
        <v>12341.45</v>
      </c>
      <c r="BF98" s="219"/>
      <c r="BG98" s="221">
        <v>14814</v>
      </c>
      <c r="BH98" s="226">
        <v>14108</v>
      </c>
      <c r="BI98" s="220">
        <v>13436</v>
      </c>
      <c r="BJ98" s="227">
        <v>12804</v>
      </c>
      <c r="BK98" s="221">
        <v>10704</v>
      </c>
      <c r="BL98" s="128">
        <v>7380</v>
      </c>
      <c r="BM98" s="128">
        <v>7035</v>
      </c>
    </row>
    <row r="99" spans="1:65" x14ac:dyDescent="0.3">
      <c r="A99" s="111" t="s">
        <v>395</v>
      </c>
      <c r="B99" s="111" t="s">
        <v>396</v>
      </c>
      <c r="C99" s="112" t="s">
        <v>164</v>
      </c>
      <c r="D99" s="113" t="s">
        <v>302</v>
      </c>
      <c r="E99" s="113" t="s">
        <v>317</v>
      </c>
      <c r="F99" s="111"/>
      <c r="G99" s="46">
        <f t="shared" si="18"/>
        <v>21033.53861221909</v>
      </c>
      <c r="H99" s="111"/>
      <c r="I99" s="114">
        <v>20144</v>
      </c>
      <c r="J99" s="47">
        <v>23094</v>
      </c>
      <c r="K99" s="47">
        <v>25070</v>
      </c>
      <c r="L99" s="47">
        <v>30137</v>
      </c>
      <c r="M99" s="47">
        <v>23865</v>
      </c>
      <c r="N99" s="114">
        <v>30987</v>
      </c>
      <c r="O99" s="47">
        <v>31810</v>
      </c>
      <c r="P99" s="47">
        <v>33951</v>
      </c>
      <c r="Q99" s="115">
        <v>37091</v>
      </c>
      <c r="R99" s="47">
        <v>38808</v>
      </c>
      <c r="S99" s="47"/>
      <c r="T99" s="114">
        <v>0</v>
      </c>
      <c r="U99" s="47">
        <v>0</v>
      </c>
      <c r="V99" s="47">
        <v>0</v>
      </c>
      <c r="W99" s="47">
        <v>0</v>
      </c>
      <c r="X99" s="114">
        <v>5416</v>
      </c>
      <c r="Y99" s="47">
        <v>1191</v>
      </c>
      <c r="Z99" s="47">
        <v>7623</v>
      </c>
      <c r="AA99" s="47">
        <v>536</v>
      </c>
      <c r="AB99" s="47"/>
      <c r="AC99" s="16">
        <f t="shared" ref="AC99:AC130" si="19">I99+X99*0.1</f>
        <v>20685.599999999999</v>
      </c>
      <c r="AD99" s="16">
        <f t="shared" ref="AD99:AD130" si="20">N99+0.1*T99</f>
        <v>30987</v>
      </c>
      <c r="AE99" s="16">
        <f>SUM(AC99*'Factors &amp; Percentages'!$E$27+AD99*'Factors &amp; Percentages'!$E$28)</f>
        <v>3958.9363878021622</v>
      </c>
      <c r="AF99" s="16"/>
      <c r="AG99" s="101">
        <v>0.5</v>
      </c>
      <c r="AH99" s="18">
        <f>AG99*'Factors &amp; Percentages'!$E$31</f>
        <v>6549.9230443777469</v>
      </c>
      <c r="AI99" s="18"/>
      <c r="AJ99" s="18">
        <v>1068</v>
      </c>
      <c r="AK99" s="18">
        <f>AJ99*'Factors &amp; Percentages'!$E$34</f>
        <v>2234.6512236938088</v>
      </c>
      <c r="AL99" s="18"/>
      <c r="AM99" s="30">
        <v>20</v>
      </c>
      <c r="AN99" s="30">
        <v>39</v>
      </c>
      <c r="AO99" s="30">
        <v>58</v>
      </c>
      <c r="AP99" s="116">
        <v>50</v>
      </c>
      <c r="AQ99" s="115">
        <v>11130</v>
      </c>
      <c r="AR99" s="115">
        <f t="shared" si="14"/>
        <v>11130</v>
      </c>
      <c r="AS99" s="18">
        <f>AN99*'Factors &amp; Percentages'!$E$37+AP99*'Factors &amp; Percentages'!$E$38+AR99*'Factors &amp; Percentages'!$E$39</f>
        <v>8290.0279563453696</v>
      </c>
      <c r="AT99" s="18"/>
      <c r="AU99" s="18">
        <f t="shared" si="15"/>
        <v>21033.53861221909</v>
      </c>
      <c r="AV99" s="69">
        <f t="shared" si="17"/>
        <v>21033.53861221909</v>
      </c>
      <c r="AW99" s="46">
        <f>IF($BG99&gt;$AV99,$BG99*(1+'Factors &amp; Percentages'!$B$24),
IF($AU99&gt;$AV99,$AV99,
IF($AU99&gt;$BG99,$AU99,
$BG99*(1+'Factors &amp; Percentages'!$B$24))))</f>
        <v>21033.53861221909</v>
      </c>
      <c r="AX99" s="46">
        <f t="shared" si="16"/>
        <v>21033.53861221909</v>
      </c>
      <c r="AY99" s="69"/>
      <c r="AZ99" s="27"/>
      <c r="BA99" s="21">
        <v>17424.189216970579</v>
      </c>
      <c r="BB99" s="46">
        <v>17121</v>
      </c>
      <c r="BC99" s="119">
        <v>19589</v>
      </c>
      <c r="BD99" s="120">
        <v>16251.374999999998</v>
      </c>
      <c r="BE99" s="120">
        <v>17652.575000000001</v>
      </c>
      <c r="BF99" s="69"/>
      <c r="BG99" s="73">
        <v>8000</v>
      </c>
      <c r="BH99" s="73">
        <v>8004</v>
      </c>
      <c r="BI99" s="117">
        <v>8000</v>
      </c>
      <c r="BJ99" s="118">
        <v>10000</v>
      </c>
      <c r="BK99" s="106">
        <v>15855</v>
      </c>
      <c r="BL99" s="106">
        <v>15855</v>
      </c>
      <c r="BM99" s="106">
        <v>15855</v>
      </c>
    </row>
    <row r="100" spans="1:65" x14ac:dyDescent="0.3">
      <c r="A100" s="121" t="s">
        <v>397</v>
      </c>
      <c r="B100" s="121" t="s">
        <v>398</v>
      </c>
      <c r="C100" s="174" t="s">
        <v>165</v>
      </c>
      <c r="D100" s="122" t="s">
        <v>302</v>
      </c>
      <c r="E100" s="173" t="s">
        <v>317</v>
      </c>
      <c r="F100" s="111"/>
      <c r="G100" s="185">
        <f t="shared" si="18"/>
        <v>30965.340461709664</v>
      </c>
      <c r="H100" s="186"/>
      <c r="I100" s="187">
        <v>53661</v>
      </c>
      <c r="J100" s="188">
        <v>69602</v>
      </c>
      <c r="K100" s="189">
        <v>76114</v>
      </c>
      <c r="L100" s="123">
        <v>60083</v>
      </c>
      <c r="M100" s="123">
        <v>87681</v>
      </c>
      <c r="N100" s="190">
        <v>15429</v>
      </c>
      <c r="O100" s="189">
        <v>17912</v>
      </c>
      <c r="P100" s="188">
        <v>34068</v>
      </c>
      <c r="Q100" s="208">
        <v>24263</v>
      </c>
      <c r="R100" s="123">
        <v>25770</v>
      </c>
      <c r="S100" s="188"/>
      <c r="T100" s="187">
        <v>8561</v>
      </c>
      <c r="U100" s="188">
        <v>6464</v>
      </c>
      <c r="V100" s="189">
        <v>3529</v>
      </c>
      <c r="W100" s="123">
        <v>3084</v>
      </c>
      <c r="X100" s="190">
        <v>4275</v>
      </c>
      <c r="Y100" s="189">
        <v>3767</v>
      </c>
      <c r="Z100" s="188">
        <v>4132</v>
      </c>
      <c r="AA100" s="123">
        <v>1866</v>
      </c>
      <c r="AB100" s="191"/>
      <c r="AC100" s="204">
        <f t="shared" si="19"/>
        <v>54088.5</v>
      </c>
      <c r="AD100" s="205">
        <f t="shared" si="20"/>
        <v>16285.1</v>
      </c>
      <c r="AE100" s="204">
        <f>SUM(AC100*'Factors &amp; Percentages'!$E$27+AD100*'Factors &amp; Percentages'!$E$28)</f>
        <v>6002.4518145475495</v>
      </c>
      <c r="AF100" s="16"/>
      <c r="AG100" s="125">
        <v>0.75</v>
      </c>
      <c r="AH100" s="204">
        <f>AG100*'Factors &amp; Percentages'!$E$31</f>
        <v>9824.8845665666195</v>
      </c>
      <c r="AI100" s="18"/>
      <c r="AJ100" s="126">
        <v>1675</v>
      </c>
      <c r="AK100" s="204">
        <f>AJ100*'Factors &amp; Percentages'!$E$34</f>
        <v>3504.7198498943162</v>
      </c>
      <c r="AL100" s="18"/>
      <c r="AM100" s="124">
        <v>68</v>
      </c>
      <c r="AN100" s="211">
        <v>60</v>
      </c>
      <c r="AO100" s="124">
        <v>82</v>
      </c>
      <c r="AP100" s="212">
        <v>86</v>
      </c>
      <c r="AQ100" s="135">
        <v>10593</v>
      </c>
      <c r="AR100" s="179">
        <f t="shared" si="14"/>
        <v>10593</v>
      </c>
      <c r="AS100" s="205">
        <f>AN100*'Factors &amp; Percentages'!$E$37+AP100*'Factors &amp; Percentages'!$E$38+AR100*'Factors &amp; Percentages'!$E$39</f>
        <v>11633.284230701178</v>
      </c>
      <c r="AT100" s="18"/>
      <c r="AU100" s="203">
        <f t="shared" si="15"/>
        <v>30965.340461709664</v>
      </c>
      <c r="AV100" s="213">
        <f t="shared" si="17"/>
        <v>30965.340461709664</v>
      </c>
      <c r="AW100" s="196">
        <f>IF($BG100&gt;$AV100,$BG100*(1+'Factors &amp; Percentages'!$B$24),
IF($AU100&gt;$AV100,$AV100,
IF($AU100&gt;$BG100,$AU100,
$BG100*(1+'Factors &amp; Percentages'!$B$24))))</f>
        <v>30965.340461709664</v>
      </c>
      <c r="AX100" s="185">
        <f t="shared" si="16"/>
        <v>30965.340461709664</v>
      </c>
      <c r="AY100" s="127"/>
      <c r="AZ100" s="27"/>
      <c r="BA100" s="223">
        <v>46200</v>
      </c>
      <c r="BB100" s="185">
        <v>50852.55</v>
      </c>
      <c r="BC100" s="204">
        <v>48431</v>
      </c>
      <c r="BD100" s="218">
        <v>46124.999999999993</v>
      </c>
      <c r="BE100" s="224">
        <v>44074.999999999993</v>
      </c>
      <c r="BF100" s="219"/>
      <c r="BG100" s="221">
        <v>30718</v>
      </c>
      <c r="BH100" s="226">
        <v>44000</v>
      </c>
      <c r="BI100" s="220">
        <v>48431</v>
      </c>
      <c r="BJ100" s="227">
        <v>46125</v>
      </c>
      <c r="BK100" s="221">
        <v>45000</v>
      </c>
      <c r="BL100" s="128">
        <v>43000</v>
      </c>
      <c r="BM100" s="128">
        <v>40950</v>
      </c>
    </row>
    <row r="101" spans="1:65" x14ac:dyDescent="0.3">
      <c r="A101" s="111" t="s">
        <v>166</v>
      </c>
      <c r="B101" s="111" t="s">
        <v>166</v>
      </c>
      <c r="C101" s="112" t="s">
        <v>166</v>
      </c>
      <c r="D101" s="113" t="s">
        <v>302</v>
      </c>
      <c r="E101" s="113" t="s">
        <v>317</v>
      </c>
      <c r="F101" s="111"/>
      <c r="G101" s="46">
        <f t="shared" si="18"/>
        <v>8963.5</v>
      </c>
      <c r="H101" s="111"/>
      <c r="I101" s="114">
        <v>13790</v>
      </c>
      <c r="J101" s="47">
        <v>13041</v>
      </c>
      <c r="K101" s="47">
        <v>12677</v>
      </c>
      <c r="L101" s="47">
        <v>13229</v>
      </c>
      <c r="M101" s="47">
        <v>11473</v>
      </c>
      <c r="N101" s="114">
        <v>3037</v>
      </c>
      <c r="O101" s="47">
        <v>3581</v>
      </c>
      <c r="P101" s="47">
        <v>3817</v>
      </c>
      <c r="Q101" s="115">
        <v>5020</v>
      </c>
      <c r="R101" s="47">
        <v>3819</v>
      </c>
      <c r="S101" s="47"/>
      <c r="T101" s="114">
        <v>327</v>
      </c>
      <c r="U101" s="47">
        <v>1819</v>
      </c>
      <c r="V101" s="47">
        <v>6940</v>
      </c>
      <c r="W101" s="47">
        <v>300</v>
      </c>
      <c r="X101" s="114">
        <v>400</v>
      </c>
      <c r="Y101" s="47">
        <v>1981</v>
      </c>
      <c r="Z101" s="47">
        <v>0</v>
      </c>
      <c r="AA101" s="47">
        <v>300</v>
      </c>
      <c r="AB101" s="47"/>
      <c r="AC101" s="16">
        <f t="shared" si="19"/>
        <v>13830</v>
      </c>
      <c r="AD101" s="16">
        <f t="shared" si="20"/>
        <v>3069.7</v>
      </c>
      <c r="AE101" s="16">
        <f>SUM(AC101*'Factors &amp; Percentages'!$E$27+AD101*'Factors &amp; Percentages'!$E$28)</f>
        <v>1461.2637482090122</v>
      </c>
      <c r="AF101" s="16"/>
      <c r="AG101" s="101">
        <v>0.33333333333333331</v>
      </c>
      <c r="AH101" s="18">
        <f>AG101*'Factors &amp; Percentages'!$E$31</f>
        <v>4366.6153629184973</v>
      </c>
      <c r="AI101" s="18"/>
      <c r="AJ101" s="18">
        <v>1670</v>
      </c>
      <c r="AK101" s="18">
        <f>AJ101*'Factors &amp; Percentages'!$E$34</f>
        <v>3494.2579995961241</v>
      </c>
      <c r="AL101" s="18"/>
      <c r="AM101" s="139">
        <v>8</v>
      </c>
      <c r="AN101" s="30">
        <v>4</v>
      </c>
      <c r="AO101" s="30">
        <v>24</v>
      </c>
      <c r="AP101" s="116">
        <v>24</v>
      </c>
      <c r="AQ101" s="115">
        <v>11194</v>
      </c>
      <c r="AR101" s="115">
        <f t="shared" si="14"/>
        <v>11194</v>
      </c>
      <c r="AS101" s="18">
        <f>AN101*'Factors &amp; Percentages'!$E$37+AP101*'Factors &amp; Percentages'!$E$38+AR101*'Factors &amp; Percentages'!$E$39</f>
        <v>3345.4973383071724</v>
      </c>
      <c r="AT101" s="18"/>
      <c r="AU101" s="18">
        <f t="shared" si="15"/>
        <v>12667.634449030806</v>
      </c>
      <c r="AV101" s="69">
        <f t="shared" si="17"/>
        <v>8963.5</v>
      </c>
      <c r="AW101" s="46">
        <f>IF($BG101&gt;$AV101,$BG101*(1+'Factors &amp; Percentages'!$B$24),
IF($AU101&gt;$AV101,$AV101,
IF($AU101&gt;$BG101,$AU101,
$BG101*(1+'Factors &amp; Percentages'!$B$24))))</f>
        <v>8963.5</v>
      </c>
      <c r="AX101" s="46">
        <f t="shared" si="16"/>
        <v>8963.5</v>
      </c>
      <c r="AY101" s="69"/>
      <c r="AZ101" s="27"/>
      <c r="BA101" s="21">
        <v>8476.65</v>
      </c>
      <c r="BB101" s="46">
        <v>8240.0500000000011</v>
      </c>
      <c r="BC101" s="119">
        <v>8599</v>
      </c>
      <c r="BD101" s="120">
        <v>7457.45</v>
      </c>
      <c r="BE101" s="120">
        <v>14715.800000000001</v>
      </c>
      <c r="BF101" s="69"/>
      <c r="BG101" s="73">
        <v>5000</v>
      </c>
      <c r="BH101" s="73">
        <v>5000</v>
      </c>
      <c r="BI101" s="117">
        <v>5000</v>
      </c>
      <c r="BJ101" s="118">
        <v>5000</v>
      </c>
      <c r="BK101" s="106">
        <v>4000</v>
      </c>
      <c r="BL101" s="106">
        <v>8000</v>
      </c>
      <c r="BM101" s="106">
        <v>8000</v>
      </c>
    </row>
    <row r="102" spans="1:65" x14ac:dyDescent="0.3">
      <c r="A102" s="121" t="s">
        <v>83</v>
      </c>
      <c r="B102" s="121" t="s">
        <v>83</v>
      </c>
      <c r="C102" s="174" t="s">
        <v>83</v>
      </c>
      <c r="D102" s="122" t="s">
        <v>279</v>
      </c>
      <c r="E102" s="173" t="s">
        <v>314</v>
      </c>
      <c r="F102" s="111"/>
      <c r="G102" s="185">
        <f t="shared" si="18"/>
        <v>52038</v>
      </c>
      <c r="H102" s="186"/>
      <c r="I102" s="187">
        <v>70846</v>
      </c>
      <c r="J102" s="188">
        <v>98165</v>
      </c>
      <c r="K102" s="189">
        <v>73721</v>
      </c>
      <c r="L102" s="123">
        <v>69425</v>
      </c>
      <c r="M102" s="123">
        <v>69597</v>
      </c>
      <c r="N102" s="190">
        <v>53243</v>
      </c>
      <c r="O102" s="189">
        <v>43792</v>
      </c>
      <c r="P102" s="188">
        <v>42142</v>
      </c>
      <c r="Q102" s="208">
        <v>44130</v>
      </c>
      <c r="R102" s="123">
        <v>29125</v>
      </c>
      <c r="S102" s="188"/>
      <c r="T102" s="187">
        <v>7548</v>
      </c>
      <c r="U102" s="188">
        <v>16428</v>
      </c>
      <c r="V102" s="189">
        <v>9014</v>
      </c>
      <c r="W102" s="123">
        <v>11959</v>
      </c>
      <c r="X102" s="190">
        <v>0</v>
      </c>
      <c r="Y102" s="189">
        <v>0</v>
      </c>
      <c r="Z102" s="188">
        <v>2036</v>
      </c>
      <c r="AA102" s="123">
        <v>313</v>
      </c>
      <c r="AB102" s="191"/>
      <c r="AC102" s="204">
        <f t="shared" si="19"/>
        <v>70846</v>
      </c>
      <c r="AD102" s="205">
        <f t="shared" si="20"/>
        <v>53997.8</v>
      </c>
      <c r="AE102" s="204">
        <f>SUM(AC102*'Factors &amp; Percentages'!$E$27+AD102*'Factors &amp; Percentages'!$E$28)</f>
        <v>10056.771263622082</v>
      </c>
      <c r="AF102" s="16"/>
      <c r="AG102" s="125">
        <v>0.5</v>
      </c>
      <c r="AH102" s="204">
        <f>AG102*'Factors &amp; Percentages'!$E$31</f>
        <v>6549.9230443777469</v>
      </c>
      <c r="AI102" s="18"/>
      <c r="AJ102" s="126">
        <v>7494</v>
      </c>
      <c r="AK102" s="204">
        <f>AJ102*'Factors &amp; Percentages'!$E$34</f>
        <v>15680.221226930153</v>
      </c>
      <c r="AL102" s="18"/>
      <c r="AM102" s="124">
        <v>47</v>
      </c>
      <c r="AN102" s="211">
        <v>42</v>
      </c>
      <c r="AO102" s="124">
        <v>116</v>
      </c>
      <c r="AP102" s="212">
        <v>115</v>
      </c>
      <c r="AQ102" s="135">
        <v>3583</v>
      </c>
      <c r="AR102" s="179">
        <f t="shared" si="14"/>
        <v>3583</v>
      </c>
      <c r="AS102" s="205">
        <f>AN102*'Factors &amp; Percentages'!$E$37+AP102*'Factors &amp; Percentages'!$E$38+AR102*'Factors &amp; Percentages'!$E$39</f>
        <v>8645.767162095919</v>
      </c>
      <c r="AT102" s="18"/>
      <c r="AU102" s="203">
        <f t="shared" si="15"/>
        <v>40932.682697025899</v>
      </c>
      <c r="AV102" s="213">
        <f t="shared" si="17"/>
        <v>40932.682697025899</v>
      </c>
      <c r="AW102" s="196">
        <f>IF($BG102&gt;$AV102,$BG102*(1+'Factors &amp; Percentages'!$B$24),
IF($AU102&gt;$AV102,$AV102,
IF($AU102&gt;$BG102,$AU102,
$BG102*(1+'Factors &amp; Percentages'!$B$24))))</f>
        <v>52038</v>
      </c>
      <c r="AX102" s="185">
        <f t="shared" si="16"/>
        <v>52038</v>
      </c>
      <c r="AY102" s="127"/>
      <c r="AZ102" s="27"/>
      <c r="BA102" s="223">
        <v>49560</v>
      </c>
      <c r="BB102" s="185">
        <v>47272.05</v>
      </c>
      <c r="BC102" s="204">
        <v>45126</v>
      </c>
      <c r="BD102" s="218">
        <v>45021.33257385133</v>
      </c>
      <c r="BE102" s="224">
        <v>42902.399999999994</v>
      </c>
      <c r="BF102" s="219"/>
      <c r="BG102" s="221">
        <v>49560</v>
      </c>
      <c r="BH102" s="226">
        <v>47208</v>
      </c>
      <c r="BI102" s="220">
        <v>45021</v>
      </c>
      <c r="BJ102" s="227">
        <v>45000</v>
      </c>
      <c r="BK102" s="221">
        <v>33840</v>
      </c>
      <c r="BL102" s="128">
        <v>41856</v>
      </c>
      <c r="BM102" s="128">
        <v>41856</v>
      </c>
    </row>
    <row r="103" spans="1:65" x14ac:dyDescent="0.3">
      <c r="A103" s="111" t="s">
        <v>399</v>
      </c>
      <c r="B103" s="111" t="s">
        <v>399</v>
      </c>
      <c r="C103" s="112" t="s">
        <v>219</v>
      </c>
      <c r="D103" s="113" t="s">
        <v>302</v>
      </c>
      <c r="E103" s="113" t="s">
        <v>303</v>
      </c>
      <c r="F103" s="111"/>
      <c r="G103" s="46">
        <f t="shared" si="18"/>
        <v>28410.673827330244</v>
      </c>
      <c r="H103" s="111"/>
      <c r="I103" s="114">
        <v>34213</v>
      </c>
      <c r="J103" s="47">
        <v>37741</v>
      </c>
      <c r="K103" s="47">
        <v>37330</v>
      </c>
      <c r="L103" s="47">
        <v>50780</v>
      </c>
      <c r="M103" s="47">
        <v>32730</v>
      </c>
      <c r="N103" s="114">
        <v>46332</v>
      </c>
      <c r="O103" s="47">
        <v>50678</v>
      </c>
      <c r="P103" s="47">
        <v>63224</v>
      </c>
      <c r="Q103" s="115">
        <v>56836</v>
      </c>
      <c r="R103" s="47">
        <v>5954</v>
      </c>
      <c r="S103" s="47"/>
      <c r="T103" s="114">
        <v>33300</v>
      </c>
      <c r="U103" s="47">
        <v>31515</v>
      </c>
      <c r="V103" s="47">
        <v>29881</v>
      </c>
      <c r="W103" s="47">
        <v>27644</v>
      </c>
      <c r="X103" s="114">
        <v>4197</v>
      </c>
      <c r="Y103" s="47">
        <v>11564</v>
      </c>
      <c r="Z103" s="47">
        <v>9350</v>
      </c>
      <c r="AA103" s="47">
        <v>2828</v>
      </c>
      <c r="AB103" s="47"/>
      <c r="AC103" s="16">
        <f t="shared" si="19"/>
        <v>34632.699999999997</v>
      </c>
      <c r="AD103" s="16">
        <f t="shared" si="20"/>
        <v>49662</v>
      </c>
      <c r="AE103" s="16">
        <f>SUM(AC103*'Factors &amp; Percentages'!$E$27+AD103*'Factors &amp; Percentages'!$E$28)</f>
        <v>6479.2250962198004</v>
      </c>
      <c r="AF103" s="16"/>
      <c r="AG103" s="101">
        <v>1</v>
      </c>
      <c r="AH103" s="18">
        <f>AG103*'Factors &amp; Percentages'!$E$31</f>
        <v>13099.846088755494</v>
      </c>
      <c r="AI103" s="18"/>
      <c r="AJ103" s="18">
        <v>68</v>
      </c>
      <c r="AK103" s="18">
        <f>AJ103*'Factors &amp; Percentages'!$E$34</f>
        <v>142.28116405541104</v>
      </c>
      <c r="AL103" s="18"/>
      <c r="AM103" s="137">
        <v>33</v>
      </c>
      <c r="AN103" s="30">
        <v>33</v>
      </c>
      <c r="AO103" s="137">
        <v>118</v>
      </c>
      <c r="AP103" s="116">
        <v>118</v>
      </c>
      <c r="AQ103" s="115">
        <v>8927</v>
      </c>
      <c r="AR103" s="115">
        <f t="shared" si="14"/>
        <v>8927</v>
      </c>
      <c r="AS103" s="18">
        <f>AN103*'Factors &amp; Percentages'!$E$37+AP103*'Factors &amp; Percentages'!$E$38+AR103*'Factors &amp; Percentages'!$E$39</f>
        <v>8689.3214782995383</v>
      </c>
      <c r="AT103" s="18"/>
      <c r="AU103" s="18">
        <f t="shared" si="15"/>
        <v>28410.673827330244</v>
      </c>
      <c r="AV103" s="69">
        <f t="shared" si="17"/>
        <v>28410.673827330244</v>
      </c>
      <c r="AW103" s="46">
        <f>IF($BG103&gt;$AV103,$BG103*(1+'Factors &amp; Percentages'!$B$24),
IF($AU103&gt;$AV103,$AV103,
IF($AU103&gt;$BG103,$AU103,
$BG103*(1+'Factors &amp; Percentages'!$B$24))))</f>
        <v>28410.673827330244</v>
      </c>
      <c r="AX103" s="46">
        <f t="shared" si="16"/>
        <v>28410.673827330244</v>
      </c>
      <c r="AY103" s="69"/>
      <c r="AZ103" s="27"/>
      <c r="BA103" s="21">
        <v>26347.119077054274</v>
      </c>
      <c r="BB103" s="46">
        <v>20315</v>
      </c>
      <c r="BC103" s="119">
        <v>30444</v>
      </c>
      <c r="BD103" s="120">
        <v>20379.733565787981</v>
      </c>
      <c r="BE103" s="120">
        <v>15986.447363836658</v>
      </c>
      <c r="BF103" s="69"/>
      <c r="BG103" s="73">
        <v>13200</v>
      </c>
      <c r="BH103" s="73">
        <v>12000</v>
      </c>
      <c r="BI103" s="117">
        <v>10320</v>
      </c>
      <c r="BJ103" s="118">
        <v>9600</v>
      </c>
      <c r="BK103" s="106">
        <v>9142</v>
      </c>
      <c r="BL103" s="106">
        <v>8962</v>
      </c>
      <c r="BM103" s="106">
        <v>8786</v>
      </c>
    </row>
    <row r="104" spans="1:65" x14ac:dyDescent="0.3">
      <c r="A104" s="121" t="s">
        <v>63</v>
      </c>
      <c r="B104" s="121" t="s">
        <v>63</v>
      </c>
      <c r="C104" s="175" t="s">
        <v>63</v>
      </c>
      <c r="D104" s="122" t="s">
        <v>302</v>
      </c>
      <c r="E104" s="173" t="s">
        <v>299</v>
      </c>
      <c r="F104" s="111"/>
      <c r="G104" s="185">
        <f t="shared" si="18"/>
        <v>25788.582055303796</v>
      </c>
      <c r="H104" s="186"/>
      <c r="I104" s="187">
        <v>40386</v>
      </c>
      <c r="J104" s="188">
        <v>42581</v>
      </c>
      <c r="K104" s="189">
        <v>41613</v>
      </c>
      <c r="L104" s="123">
        <v>32161</v>
      </c>
      <c r="M104" s="123">
        <v>32062</v>
      </c>
      <c r="N104" s="190">
        <v>40754</v>
      </c>
      <c r="O104" s="189">
        <v>57049</v>
      </c>
      <c r="P104" s="188">
        <v>64665</v>
      </c>
      <c r="Q104" s="208">
        <v>37137</v>
      </c>
      <c r="R104" s="123">
        <v>42267</v>
      </c>
      <c r="S104" s="188"/>
      <c r="T104" s="187">
        <v>18608</v>
      </c>
      <c r="U104" s="188">
        <v>22702</v>
      </c>
      <c r="V104" s="189">
        <v>13003</v>
      </c>
      <c r="W104" s="123">
        <v>8829</v>
      </c>
      <c r="X104" s="190">
        <v>7859</v>
      </c>
      <c r="Y104" s="189">
        <v>241</v>
      </c>
      <c r="Z104" s="188">
        <v>675</v>
      </c>
      <c r="AA104" s="123">
        <v>455</v>
      </c>
      <c r="AB104" s="191"/>
      <c r="AC104" s="204">
        <f t="shared" si="19"/>
        <v>41171.9</v>
      </c>
      <c r="AD104" s="205">
        <f t="shared" si="20"/>
        <v>42614.8</v>
      </c>
      <c r="AE104" s="204">
        <f>SUM(AC104*'Factors &amp; Percentages'!$E$27+AD104*'Factors &amp; Percentages'!$E$28)</f>
        <v>6599.1931133851285</v>
      </c>
      <c r="AF104" s="16"/>
      <c r="AG104" s="125">
        <v>0.5</v>
      </c>
      <c r="AH104" s="204">
        <f>AG104*'Factors &amp; Percentages'!$E$31</f>
        <v>6549.9230443777469</v>
      </c>
      <c r="AI104" s="18"/>
      <c r="AJ104" s="126">
        <v>1510</v>
      </c>
      <c r="AK104" s="204">
        <f>AJ104*'Factors &amp; Percentages'!$E$34</f>
        <v>3159.4787900539804</v>
      </c>
      <c r="AL104" s="18"/>
      <c r="AM104" s="124">
        <v>42</v>
      </c>
      <c r="AN104" s="211">
        <v>39</v>
      </c>
      <c r="AO104" s="124">
        <v>101</v>
      </c>
      <c r="AP104" s="212">
        <v>101</v>
      </c>
      <c r="AQ104" s="135">
        <v>11101</v>
      </c>
      <c r="AR104" s="179">
        <f t="shared" si="14"/>
        <v>11101</v>
      </c>
      <c r="AS104" s="205">
        <f>AN104*'Factors &amp; Percentages'!$E$37+AP104*'Factors &amp; Percentages'!$E$38+AR104*'Factors &amp; Percentages'!$E$39</f>
        <v>9479.9871074869407</v>
      </c>
      <c r="AT104" s="18"/>
      <c r="AU104" s="203">
        <f t="shared" si="15"/>
        <v>25788.582055303796</v>
      </c>
      <c r="AV104" s="213">
        <f t="shared" si="17"/>
        <v>25788.582055303796</v>
      </c>
      <c r="AW104" s="196">
        <f>IF($BG104&gt;$AV104,$BG104*(1+'Factors &amp; Percentages'!$B$24),
IF($AU104&gt;$AV104,$AV104,
IF($AU104&gt;$BG104,$AU104,
$BG104*(1+'Factors &amp; Percentages'!$B$24))))</f>
        <v>25788.582055303796</v>
      </c>
      <c r="AX104" s="185">
        <f t="shared" si="16"/>
        <v>25788.582055303796</v>
      </c>
      <c r="AY104" s="127"/>
      <c r="AZ104" s="27"/>
      <c r="BA104" s="223">
        <v>25000.720441306508</v>
      </c>
      <c r="BB104" s="185">
        <v>25396</v>
      </c>
      <c r="BC104" s="204">
        <v>20905</v>
      </c>
      <c r="BD104" s="218">
        <v>24338.624999999996</v>
      </c>
      <c r="BE104" s="224">
        <v>29022</v>
      </c>
      <c r="BF104" s="219"/>
      <c r="BG104" s="221">
        <v>22500</v>
      </c>
      <c r="BH104" s="226">
        <v>21000</v>
      </c>
      <c r="BI104" s="220">
        <v>20905</v>
      </c>
      <c r="BJ104" s="227">
        <v>20000</v>
      </c>
      <c r="BK104" s="221">
        <v>23745</v>
      </c>
      <c r="BL104" s="128">
        <v>23745</v>
      </c>
      <c r="BM104" s="128">
        <v>23280</v>
      </c>
    </row>
    <row r="105" spans="1:65" x14ac:dyDescent="0.3">
      <c r="A105" s="111" t="s">
        <v>400</v>
      </c>
      <c r="B105" s="111" t="s">
        <v>401</v>
      </c>
      <c r="C105" s="138" t="s">
        <v>64</v>
      </c>
      <c r="D105" s="113" t="s">
        <v>302</v>
      </c>
      <c r="E105" s="113" t="s">
        <v>299</v>
      </c>
      <c r="F105" s="111"/>
      <c r="G105" s="46">
        <f t="shared" si="18"/>
        <v>24766.3</v>
      </c>
      <c r="H105" s="111"/>
      <c r="I105" s="114">
        <v>38102</v>
      </c>
      <c r="J105" s="47">
        <v>39760</v>
      </c>
      <c r="K105" s="47">
        <v>31427</v>
      </c>
      <c r="L105" s="47">
        <v>34153</v>
      </c>
      <c r="M105" s="47">
        <v>26390</v>
      </c>
      <c r="N105" s="114">
        <v>13438</v>
      </c>
      <c r="O105" s="47">
        <v>18097</v>
      </c>
      <c r="P105" s="47">
        <v>22107</v>
      </c>
      <c r="Q105" s="115">
        <v>17999</v>
      </c>
      <c r="R105" s="47">
        <v>9769</v>
      </c>
      <c r="S105" s="47"/>
      <c r="T105" s="114">
        <v>19675</v>
      </c>
      <c r="U105" s="47">
        <v>18918</v>
      </c>
      <c r="V105" s="47">
        <v>35176</v>
      </c>
      <c r="W105" s="47">
        <v>26439</v>
      </c>
      <c r="X105" s="114">
        <v>0</v>
      </c>
      <c r="Y105" s="47">
        <v>3985</v>
      </c>
      <c r="Z105" s="47">
        <v>27373</v>
      </c>
      <c r="AA105" s="47">
        <v>2151</v>
      </c>
      <c r="AB105" s="47"/>
      <c r="AC105" s="16">
        <f t="shared" si="19"/>
        <v>38102</v>
      </c>
      <c r="AD105" s="16">
        <f t="shared" si="20"/>
        <v>15405.5</v>
      </c>
      <c r="AE105" s="16">
        <f>SUM(AC105*'Factors &amp; Percentages'!$E$27+AD105*'Factors &amp; Percentages'!$E$28)</f>
        <v>4492.6273573883727</v>
      </c>
      <c r="AF105" s="16"/>
      <c r="AG105" s="101">
        <v>0.85</v>
      </c>
      <c r="AH105" s="18">
        <f>AG105*'Factors &amp; Percentages'!$E$31</f>
        <v>11134.869175442169</v>
      </c>
      <c r="AI105" s="18"/>
      <c r="AJ105" s="18">
        <v>618</v>
      </c>
      <c r="AK105" s="18">
        <f>AJ105*'Factors &amp; Percentages'!$E$34</f>
        <v>1293.0846968565297</v>
      </c>
      <c r="AL105" s="18"/>
      <c r="AM105" s="30">
        <v>35</v>
      </c>
      <c r="AN105" s="30">
        <v>35</v>
      </c>
      <c r="AO105" s="30">
        <v>75</v>
      </c>
      <c r="AP105" s="116">
        <v>69</v>
      </c>
      <c r="AQ105" s="115">
        <v>13179</v>
      </c>
      <c r="AR105" s="115">
        <f t="shared" si="14"/>
        <v>13179</v>
      </c>
      <c r="AS105" s="18">
        <f>AN105*'Factors &amp; Percentages'!$E$37+AP105*'Factors &amp; Percentages'!$E$38+AR105*'Factors &amp; Percentages'!$E$39</f>
        <v>8657.0527241272539</v>
      </c>
      <c r="AT105" s="18"/>
      <c r="AU105" s="18">
        <f t="shared" si="15"/>
        <v>25577.633953814326</v>
      </c>
      <c r="AV105" s="69">
        <f t="shared" si="17"/>
        <v>24766.3</v>
      </c>
      <c r="AW105" s="46">
        <f>IF($BG105&gt;$AV105,$BG105*(1+'Factors &amp; Percentages'!$B$24),
IF($AU105&gt;$AV105,$AV105,
IF($AU105&gt;$BG105,$AU105,
$BG105*(1+'Factors &amp; Percentages'!$B$24))))</f>
        <v>24766.3</v>
      </c>
      <c r="AX105" s="46">
        <f t="shared" si="16"/>
        <v>24766.3</v>
      </c>
      <c r="AY105" s="69"/>
      <c r="AZ105" s="27"/>
      <c r="BA105" s="21">
        <v>23894.619339309967</v>
      </c>
      <c r="BB105" s="46">
        <v>23310</v>
      </c>
      <c r="BC105" s="119">
        <v>22199</v>
      </c>
      <c r="BD105" s="120">
        <v>17153.5</v>
      </c>
      <c r="BE105" s="120">
        <v>27444.374999999996</v>
      </c>
      <c r="BF105" s="69"/>
      <c r="BG105" s="73">
        <v>24000</v>
      </c>
      <c r="BH105" s="73">
        <v>23700</v>
      </c>
      <c r="BI105" s="117">
        <v>22200</v>
      </c>
      <c r="BJ105" s="118">
        <v>17000</v>
      </c>
      <c r="BK105" s="106">
        <v>14000</v>
      </c>
      <c r="BL105" s="106">
        <v>26775</v>
      </c>
      <c r="BM105" s="106">
        <v>25600</v>
      </c>
    </row>
    <row r="106" spans="1:65" x14ac:dyDescent="0.3">
      <c r="A106" s="121" t="s">
        <v>402</v>
      </c>
      <c r="B106" s="121" t="s">
        <v>403</v>
      </c>
      <c r="C106" s="174" t="s">
        <v>132</v>
      </c>
      <c r="D106" s="122" t="s">
        <v>302</v>
      </c>
      <c r="E106" s="173" t="s">
        <v>298</v>
      </c>
      <c r="F106" s="111"/>
      <c r="G106" s="185">
        <f t="shared" si="18"/>
        <v>28398.177822870181</v>
      </c>
      <c r="H106" s="186"/>
      <c r="I106" s="187">
        <v>33040</v>
      </c>
      <c r="J106" s="188">
        <v>31845</v>
      </c>
      <c r="K106" s="189">
        <v>29768</v>
      </c>
      <c r="L106" s="123">
        <v>34988</v>
      </c>
      <c r="M106" s="123">
        <v>34274</v>
      </c>
      <c r="N106" s="190">
        <v>43764</v>
      </c>
      <c r="O106" s="189">
        <v>26227</v>
      </c>
      <c r="P106" s="188">
        <v>32917</v>
      </c>
      <c r="Q106" s="208">
        <v>48422</v>
      </c>
      <c r="R106" s="123">
        <v>49362</v>
      </c>
      <c r="S106" s="188"/>
      <c r="T106" s="187">
        <v>20130</v>
      </c>
      <c r="U106" s="188">
        <v>14554</v>
      </c>
      <c r="V106" s="189">
        <v>13779</v>
      </c>
      <c r="W106" s="123">
        <v>130</v>
      </c>
      <c r="X106" s="190">
        <v>0</v>
      </c>
      <c r="Y106" s="189">
        <v>0</v>
      </c>
      <c r="Z106" s="188">
        <v>0</v>
      </c>
      <c r="AA106" s="123">
        <v>0</v>
      </c>
      <c r="AB106" s="191"/>
      <c r="AC106" s="204">
        <f t="shared" si="19"/>
        <v>33040</v>
      </c>
      <c r="AD106" s="205">
        <f t="shared" si="20"/>
        <v>45777</v>
      </c>
      <c r="AE106" s="204">
        <f>SUM(AC106*'Factors &amp; Percentages'!$E$27+AD106*'Factors &amp; Percentages'!$E$28)</f>
        <v>6073.6890787061384</v>
      </c>
      <c r="AF106" s="16"/>
      <c r="AG106" s="125">
        <v>1</v>
      </c>
      <c r="AH106" s="204">
        <f>AG106*'Factors &amp; Percentages'!$E$31</f>
        <v>13099.846088755494</v>
      </c>
      <c r="AI106" s="18"/>
      <c r="AJ106" s="126">
        <v>1828</v>
      </c>
      <c r="AK106" s="204">
        <f>AJ106*'Factors &amp; Percentages'!$E$34</f>
        <v>3824.8524690189906</v>
      </c>
      <c r="AL106" s="18"/>
      <c r="AM106" s="130">
        <v>28</v>
      </c>
      <c r="AN106" s="211">
        <v>24</v>
      </c>
      <c r="AO106" s="124">
        <v>73</v>
      </c>
      <c r="AP106" s="212">
        <v>0</v>
      </c>
      <c r="AQ106" s="135">
        <v>11843</v>
      </c>
      <c r="AR106" s="179">
        <f t="shared" si="14"/>
        <v>11843</v>
      </c>
      <c r="AS106" s="205">
        <f>AN106*'Factors &amp; Percentages'!$E$37+AP106*'Factors &amp; Percentages'!$E$38+AR106*'Factors &amp; Percentages'!$E$39</f>
        <v>5399.7901863895549</v>
      </c>
      <c r="AT106" s="18"/>
      <c r="AU106" s="203">
        <f t="shared" si="15"/>
        <v>28398.177822870181</v>
      </c>
      <c r="AV106" s="213">
        <f t="shared" si="17"/>
        <v>28398.177822870181</v>
      </c>
      <c r="AW106" s="196">
        <f>IF($BG106&gt;$AV106,$BG106*(1+'Factors &amp; Percentages'!$B$24),
IF($AU106&gt;$AV106,$AV106,
IF($AU106&gt;$BG106,$AU106,
$BG106*(1+'Factors &amp; Percentages'!$B$24))))</f>
        <v>28398.177822870181</v>
      </c>
      <c r="AX106" s="185">
        <f t="shared" si="16"/>
        <v>28398.177822870181</v>
      </c>
      <c r="AY106" s="127"/>
      <c r="AZ106" s="27"/>
      <c r="BA106" s="223">
        <v>20699.25</v>
      </c>
      <c r="BB106" s="185">
        <v>25616</v>
      </c>
      <c r="BC106" s="204">
        <v>22742</v>
      </c>
      <c r="BD106" s="218">
        <v>27159.424999999999</v>
      </c>
      <c r="BE106" s="224">
        <v>33121.4</v>
      </c>
      <c r="BF106" s="219"/>
      <c r="BG106" s="221">
        <v>10000</v>
      </c>
      <c r="BH106" s="226">
        <v>10000</v>
      </c>
      <c r="BI106" s="220">
        <v>10000</v>
      </c>
      <c r="BJ106" s="227">
        <v>3062</v>
      </c>
      <c r="BK106" s="221">
        <v>26497</v>
      </c>
      <c r="BL106" s="128">
        <v>23166</v>
      </c>
      <c r="BM106" s="128">
        <v>22712</v>
      </c>
    </row>
    <row r="107" spans="1:65" x14ac:dyDescent="0.3">
      <c r="A107" s="111" t="s">
        <v>404</v>
      </c>
      <c r="B107" s="111" t="s">
        <v>140</v>
      </c>
      <c r="C107" s="112" t="s">
        <v>140</v>
      </c>
      <c r="D107" s="113" t="s">
        <v>302</v>
      </c>
      <c r="E107" s="113" t="s">
        <v>316</v>
      </c>
      <c r="F107" s="111"/>
      <c r="G107" s="46">
        <f t="shared" si="18"/>
        <v>26396.5</v>
      </c>
      <c r="H107" s="111"/>
      <c r="I107" s="114">
        <v>40610</v>
      </c>
      <c r="J107" s="47">
        <v>43012</v>
      </c>
      <c r="K107" s="47">
        <v>43643</v>
      </c>
      <c r="L107" s="47">
        <v>34847</v>
      </c>
      <c r="M107" s="47">
        <v>34710</v>
      </c>
      <c r="N107" s="114">
        <v>17303</v>
      </c>
      <c r="O107" s="47">
        <v>20325</v>
      </c>
      <c r="P107" s="47">
        <v>22920</v>
      </c>
      <c r="Q107" s="115">
        <v>22188</v>
      </c>
      <c r="R107" s="47">
        <v>19270</v>
      </c>
      <c r="S107" s="47"/>
      <c r="T107" s="114">
        <v>12405</v>
      </c>
      <c r="U107" s="47">
        <v>2147</v>
      </c>
      <c r="V107" s="47">
        <v>-4212</v>
      </c>
      <c r="W107" s="47">
        <v>2615</v>
      </c>
      <c r="X107" s="114">
        <v>12154</v>
      </c>
      <c r="Y107" s="47">
        <v>229</v>
      </c>
      <c r="Z107" s="47">
        <v>3264</v>
      </c>
      <c r="AA107" s="47">
        <v>354</v>
      </c>
      <c r="AB107" s="47"/>
      <c r="AC107" s="16">
        <f t="shared" si="19"/>
        <v>41825.4</v>
      </c>
      <c r="AD107" s="16">
        <f t="shared" si="20"/>
        <v>18543.5</v>
      </c>
      <c r="AE107" s="16">
        <f>SUM(AC107*'Factors &amp; Percentages'!$E$27+AD107*'Factors &amp; Percentages'!$E$28)</f>
        <v>5041.3334440624558</v>
      </c>
      <c r="AF107" s="16"/>
      <c r="AG107" s="101">
        <v>0.5</v>
      </c>
      <c r="AH107" s="18">
        <f>AG107*'Factors &amp; Percentages'!$E$31</f>
        <v>6549.9230443777469</v>
      </c>
      <c r="AI107" s="18"/>
      <c r="AJ107" s="18">
        <v>4167</v>
      </c>
      <c r="AK107" s="18">
        <f>AJ107*'Factors &amp; Percentages'!$E$34</f>
        <v>8718.9060385132034</v>
      </c>
      <c r="AL107" s="18"/>
      <c r="AM107" s="30">
        <v>44</v>
      </c>
      <c r="AN107" s="30">
        <v>42</v>
      </c>
      <c r="AO107" s="30">
        <v>78</v>
      </c>
      <c r="AP107" s="116">
        <v>75</v>
      </c>
      <c r="AQ107" s="115">
        <v>8282</v>
      </c>
      <c r="AR107" s="115">
        <f t="shared" si="14"/>
        <v>8282</v>
      </c>
      <c r="AS107" s="18">
        <f>AN107*'Factors &amp; Percentages'!$E$37+AP107*'Factors &amp; Percentages'!$E$38+AR107*'Factors &amp; Percentages'!$E$39</f>
        <v>8667.3605453043401</v>
      </c>
      <c r="AT107" s="18"/>
      <c r="AU107" s="18">
        <f t="shared" si="15"/>
        <v>28977.523072257747</v>
      </c>
      <c r="AV107" s="69">
        <f t="shared" si="17"/>
        <v>26396.5</v>
      </c>
      <c r="AW107" s="46">
        <f>IF($BG107&gt;$AV107,$BG107*(1+'Factors &amp; Percentages'!$B$24),
IF($AU107&gt;$AV107,$AV107,
IF($AU107&gt;$BG107,$AU107,
$BG107*(1+'Factors &amp; Percentages'!$B$24))))</f>
        <v>26396.5</v>
      </c>
      <c r="AX107" s="46">
        <f t="shared" si="16"/>
        <v>26396.5</v>
      </c>
      <c r="AY107" s="69"/>
      <c r="AZ107" s="27"/>
      <c r="BA107" s="21">
        <v>29216.25</v>
      </c>
      <c r="BB107" s="46">
        <v>27825</v>
      </c>
      <c r="BC107" s="119">
        <v>35516</v>
      </c>
      <c r="BD107" s="120">
        <v>33825</v>
      </c>
      <c r="BE107" s="120">
        <v>40658.674999999996</v>
      </c>
      <c r="BF107" s="69"/>
      <c r="BG107" s="73">
        <v>23350</v>
      </c>
      <c r="BH107" s="73">
        <v>27828</v>
      </c>
      <c r="BI107" s="117">
        <v>26500</v>
      </c>
      <c r="BJ107" s="118">
        <v>33825</v>
      </c>
      <c r="BK107" s="106">
        <v>33000</v>
      </c>
      <c r="BL107" s="106">
        <v>39667</v>
      </c>
      <c r="BM107" s="106">
        <v>39665</v>
      </c>
    </row>
    <row r="108" spans="1:65" x14ac:dyDescent="0.3">
      <c r="A108" s="121" t="s">
        <v>405</v>
      </c>
      <c r="B108" s="121" t="s">
        <v>405</v>
      </c>
      <c r="C108" s="174" t="s">
        <v>141</v>
      </c>
      <c r="D108" s="122" t="s">
        <v>302</v>
      </c>
      <c r="E108" s="173" t="s">
        <v>316</v>
      </c>
      <c r="F108" s="111"/>
      <c r="G108" s="185">
        <f t="shared" si="18"/>
        <v>38193.508872512408</v>
      </c>
      <c r="H108" s="186"/>
      <c r="I108" s="187">
        <v>66557</v>
      </c>
      <c r="J108" s="188">
        <v>74213</v>
      </c>
      <c r="K108" s="189">
        <v>72411</v>
      </c>
      <c r="L108" s="123">
        <v>62521</v>
      </c>
      <c r="M108" s="123">
        <v>66570</v>
      </c>
      <c r="N108" s="190">
        <v>15196</v>
      </c>
      <c r="O108" s="189">
        <v>24308</v>
      </c>
      <c r="P108" s="188">
        <v>29277</v>
      </c>
      <c r="Q108" s="208">
        <v>23235</v>
      </c>
      <c r="R108" s="123">
        <v>15375</v>
      </c>
      <c r="S108" s="188"/>
      <c r="T108" s="187">
        <v>7998</v>
      </c>
      <c r="U108" s="188">
        <v>9702</v>
      </c>
      <c r="V108" s="189">
        <v>13338</v>
      </c>
      <c r="W108" s="123">
        <v>4371</v>
      </c>
      <c r="X108" s="190">
        <v>14073</v>
      </c>
      <c r="Y108" s="189">
        <v>15362</v>
      </c>
      <c r="Z108" s="188">
        <v>19285</v>
      </c>
      <c r="AA108" s="123">
        <v>4814</v>
      </c>
      <c r="AB108" s="191"/>
      <c r="AC108" s="204">
        <f t="shared" si="19"/>
        <v>67964.3</v>
      </c>
      <c r="AD108" s="205">
        <f t="shared" si="20"/>
        <v>15995.8</v>
      </c>
      <c r="AE108" s="204">
        <f>SUM(AC108*'Factors &amp; Percentages'!$E$27+AD108*'Factors &amp; Percentages'!$E$28)</f>
        <v>7242.2067619465797</v>
      </c>
      <c r="AF108" s="16"/>
      <c r="AG108" s="125">
        <v>1</v>
      </c>
      <c r="AH108" s="204">
        <f>AG108*'Factors &amp; Percentages'!$E$31</f>
        <v>13099.846088755494</v>
      </c>
      <c r="AI108" s="18"/>
      <c r="AJ108" s="126">
        <v>3897</v>
      </c>
      <c r="AK108" s="204">
        <f>AJ108*'Factors &amp; Percentages'!$E$34</f>
        <v>8153.9661224108359</v>
      </c>
      <c r="AL108" s="18"/>
      <c r="AM108" s="124">
        <v>55</v>
      </c>
      <c r="AN108" s="211">
        <v>50</v>
      </c>
      <c r="AO108" s="124">
        <v>67</v>
      </c>
      <c r="AP108" s="212">
        <v>70</v>
      </c>
      <c r="AQ108" s="135">
        <v>9034</v>
      </c>
      <c r="AR108" s="179">
        <f t="shared" si="14"/>
        <v>9034</v>
      </c>
      <c r="AS108" s="205">
        <f>AN108*'Factors &amp; Percentages'!$E$37+AP108*'Factors &amp; Percentages'!$E$38+AR108*'Factors &amp; Percentages'!$E$39</f>
        <v>9697.489899399503</v>
      </c>
      <c r="AT108" s="18"/>
      <c r="AU108" s="203">
        <f t="shared" si="15"/>
        <v>38193.508872512408</v>
      </c>
      <c r="AV108" s="213">
        <f t="shared" si="17"/>
        <v>38193.508872512408</v>
      </c>
      <c r="AW108" s="196">
        <f>IF($BG108&gt;$AV108,$BG108*(1+'Factors &amp; Percentages'!$B$24),
IF($AU108&gt;$AV108,$AV108,
IF($AU108&gt;$BG108,$AU108,
$BG108*(1+'Factors &amp; Percentages'!$B$24))))</f>
        <v>38193.508872512408</v>
      </c>
      <c r="AX108" s="185">
        <f t="shared" si="16"/>
        <v>38193.508872512408</v>
      </c>
      <c r="AY108" s="127"/>
      <c r="AZ108" s="27"/>
      <c r="BA108" s="223">
        <v>36713.056791204712</v>
      </c>
      <c r="BB108" s="185">
        <v>33113</v>
      </c>
      <c r="BC108" s="204">
        <v>40639</v>
      </c>
      <c r="BD108" s="218">
        <v>41698.989369697651</v>
      </c>
      <c r="BE108" s="224">
        <v>44530.1</v>
      </c>
      <c r="BF108" s="219"/>
      <c r="BG108" s="221">
        <v>33113</v>
      </c>
      <c r="BH108" s="226">
        <v>33113</v>
      </c>
      <c r="BI108" s="220">
        <v>30000</v>
      </c>
      <c r="BJ108" s="227">
        <v>30000</v>
      </c>
      <c r="BK108" s="221">
        <v>31057</v>
      </c>
      <c r="BL108" s="128">
        <v>43444</v>
      </c>
      <c r="BM108" s="128">
        <v>41375</v>
      </c>
    </row>
    <row r="109" spans="1:65" x14ac:dyDescent="0.3">
      <c r="A109" s="111" t="s">
        <v>116</v>
      </c>
      <c r="B109" s="111" t="s">
        <v>116</v>
      </c>
      <c r="C109" s="112" t="s">
        <v>116</v>
      </c>
      <c r="D109" s="113" t="s">
        <v>302</v>
      </c>
      <c r="E109" s="113" t="s">
        <v>112</v>
      </c>
      <c r="F109" s="111"/>
      <c r="G109" s="46">
        <f t="shared" si="18"/>
        <v>23100</v>
      </c>
      <c r="H109" s="111"/>
      <c r="I109" s="114">
        <v>48797</v>
      </c>
      <c r="J109" s="47">
        <v>49853</v>
      </c>
      <c r="K109" s="47">
        <v>49751</v>
      </c>
      <c r="L109" s="47">
        <v>47728</v>
      </c>
      <c r="M109" s="47">
        <v>37909</v>
      </c>
      <c r="N109" s="114">
        <v>1336</v>
      </c>
      <c r="O109" s="47">
        <v>4093</v>
      </c>
      <c r="P109" s="47">
        <v>8789</v>
      </c>
      <c r="Q109" s="115">
        <v>5502</v>
      </c>
      <c r="R109" s="47">
        <v>4502</v>
      </c>
      <c r="S109" s="47"/>
      <c r="T109" s="114">
        <v>1520</v>
      </c>
      <c r="U109" s="47">
        <v>2382</v>
      </c>
      <c r="V109" s="47">
        <v>1275</v>
      </c>
      <c r="W109" s="47">
        <v>0</v>
      </c>
      <c r="X109" s="114">
        <v>745</v>
      </c>
      <c r="Y109" s="47">
        <v>14663</v>
      </c>
      <c r="Z109" s="47">
        <v>10805</v>
      </c>
      <c r="AA109" s="47">
        <v>6041</v>
      </c>
      <c r="AB109" s="47"/>
      <c r="AC109" s="16">
        <f t="shared" si="19"/>
        <v>48871.5</v>
      </c>
      <c r="AD109" s="16">
        <f t="shared" si="20"/>
        <v>1488</v>
      </c>
      <c r="AE109" s="16">
        <f>SUM(AC109*'Factors &amp; Percentages'!$E$27+AD109*'Factors &amp; Percentages'!$E$28)</f>
        <v>4534.9215869262171</v>
      </c>
      <c r="AF109" s="16"/>
      <c r="AG109" s="101">
        <v>0.5</v>
      </c>
      <c r="AH109" s="18">
        <f>AG109*'Factors &amp; Percentages'!$E$31</f>
        <v>6549.9230443777469</v>
      </c>
      <c r="AI109" s="18"/>
      <c r="AJ109" s="18">
        <v>197</v>
      </c>
      <c r="AK109" s="18">
        <f>AJ109*'Factors &amp; Percentages'!$E$34</f>
        <v>412.19690174876433</v>
      </c>
      <c r="AL109" s="18"/>
      <c r="AM109" s="30">
        <v>44</v>
      </c>
      <c r="AN109" s="30">
        <v>48</v>
      </c>
      <c r="AO109" s="30">
        <v>77</v>
      </c>
      <c r="AP109" s="116">
        <v>72</v>
      </c>
      <c r="AQ109" s="115">
        <v>6493</v>
      </c>
      <c r="AR109" s="115">
        <f t="shared" si="14"/>
        <v>6493</v>
      </c>
      <c r="AS109" s="18">
        <f>AN109*'Factors &amp; Percentages'!$E$37+AP109*'Factors &amp; Percentages'!$E$38+AR109*'Factors &amp; Percentages'!$E$39</f>
        <v>8977.0597212432349</v>
      </c>
      <c r="AT109" s="18"/>
      <c r="AU109" s="18">
        <f t="shared" si="15"/>
        <v>20474.101254295965</v>
      </c>
      <c r="AV109" s="69">
        <f t="shared" si="17"/>
        <v>20474.101254295965</v>
      </c>
      <c r="AW109" s="46">
        <f>IF($BG109&gt;$AV109,$BG109*(1+'Factors &amp; Percentages'!$B$24),
IF($AU109&gt;$AV109,$AV109,
IF($AU109&gt;$BG109,$AU109,
$BG109*(1+'Factors &amp; Percentages'!$B$24))))</f>
        <v>23100</v>
      </c>
      <c r="AX109" s="46">
        <f t="shared" si="16"/>
        <v>23100</v>
      </c>
      <c r="AY109" s="69"/>
      <c r="AZ109" s="27"/>
      <c r="BA109" s="21">
        <v>24198.3</v>
      </c>
      <c r="BB109" s="46">
        <v>24198.3</v>
      </c>
      <c r="BC109" s="119">
        <v>26601</v>
      </c>
      <c r="BD109" s="120">
        <v>22159.7013261678</v>
      </c>
      <c r="BE109" s="120">
        <v>24917.749999999996</v>
      </c>
      <c r="BF109" s="69"/>
      <c r="BG109" s="73">
        <v>22000</v>
      </c>
      <c r="BH109" s="73">
        <v>23046</v>
      </c>
      <c r="BI109" s="117">
        <v>23046</v>
      </c>
      <c r="BJ109" s="118">
        <v>22160</v>
      </c>
      <c r="BK109" s="106">
        <v>21050</v>
      </c>
      <c r="BL109" s="106">
        <v>24310</v>
      </c>
      <c r="BM109" s="106">
        <v>23152</v>
      </c>
    </row>
    <row r="110" spans="1:65" x14ac:dyDescent="0.3">
      <c r="A110" s="121" t="s">
        <v>406</v>
      </c>
      <c r="B110" s="121" t="s">
        <v>407</v>
      </c>
      <c r="C110" s="174" t="s">
        <v>167</v>
      </c>
      <c r="D110" s="122" t="s">
        <v>302</v>
      </c>
      <c r="E110" s="173" t="s">
        <v>317</v>
      </c>
      <c r="F110" s="111"/>
      <c r="G110" s="185">
        <f t="shared" si="18"/>
        <v>9803.3000000000011</v>
      </c>
      <c r="H110" s="186"/>
      <c r="I110" s="187">
        <v>15082</v>
      </c>
      <c r="J110" s="188">
        <v>14920</v>
      </c>
      <c r="K110" s="189">
        <v>23891</v>
      </c>
      <c r="L110" s="123">
        <v>15396</v>
      </c>
      <c r="M110" s="123">
        <v>15197</v>
      </c>
      <c r="N110" s="190">
        <v>10975</v>
      </c>
      <c r="O110" s="189">
        <v>8518</v>
      </c>
      <c r="P110" s="188">
        <v>15382</v>
      </c>
      <c r="Q110" s="208">
        <v>16759</v>
      </c>
      <c r="R110" s="123">
        <v>16145</v>
      </c>
      <c r="S110" s="188"/>
      <c r="T110" s="187">
        <v>9853</v>
      </c>
      <c r="U110" s="188">
        <v>9356</v>
      </c>
      <c r="V110" s="189">
        <v>8956</v>
      </c>
      <c r="W110" s="123">
        <v>0</v>
      </c>
      <c r="X110" s="190">
        <v>2723</v>
      </c>
      <c r="Y110" s="189">
        <v>4397</v>
      </c>
      <c r="Z110" s="188">
        <v>0</v>
      </c>
      <c r="AA110" s="123">
        <v>0</v>
      </c>
      <c r="AB110" s="191"/>
      <c r="AC110" s="204">
        <f t="shared" si="19"/>
        <v>15354.3</v>
      </c>
      <c r="AD110" s="205">
        <f t="shared" si="20"/>
        <v>11960.3</v>
      </c>
      <c r="AE110" s="204">
        <f>SUM(AC110*'Factors &amp; Percentages'!$E$27+AD110*'Factors &amp; Percentages'!$E$28)</f>
        <v>2196.8798965844176</v>
      </c>
      <c r="AF110" s="16"/>
      <c r="AG110" s="125">
        <v>1</v>
      </c>
      <c r="AH110" s="204">
        <f>AG110*'Factors &amp; Percentages'!$E$31</f>
        <v>13099.846088755494</v>
      </c>
      <c r="AI110" s="18"/>
      <c r="AJ110" s="126">
        <v>805</v>
      </c>
      <c r="AK110" s="204">
        <f>AJ110*'Factors &amp; Percentages'!$E$34</f>
        <v>1684.3578980089101</v>
      </c>
      <c r="AL110" s="18"/>
      <c r="AM110" s="124">
        <v>16</v>
      </c>
      <c r="AN110" s="211">
        <v>18</v>
      </c>
      <c r="AO110" s="124">
        <v>45</v>
      </c>
      <c r="AP110" s="212">
        <v>48</v>
      </c>
      <c r="AQ110" s="135">
        <v>8026</v>
      </c>
      <c r="AR110" s="179">
        <f t="shared" si="14"/>
        <v>8026</v>
      </c>
      <c r="AS110" s="205">
        <f>AN110*'Factors &amp; Percentages'!$E$37+AP110*'Factors &amp; Percentages'!$E$38+AR110*'Factors &amp; Percentages'!$E$39</f>
        <v>5000.5307950870792</v>
      </c>
      <c r="AT110" s="18"/>
      <c r="AU110" s="203">
        <f t="shared" si="15"/>
        <v>21981.614678435901</v>
      </c>
      <c r="AV110" s="213">
        <f t="shared" si="17"/>
        <v>9803.3000000000011</v>
      </c>
      <c r="AW110" s="196">
        <f>IF($BG110&gt;$AV110,$BG110*(1+'Factors &amp; Percentages'!$B$24),
IF($AU110&gt;$AV110,$AV110,
IF($AU110&gt;$BG110,$AU110,
$BG110*(1+'Factors &amp; Percentages'!$B$24))))</f>
        <v>9803.3000000000011</v>
      </c>
      <c r="AX110" s="185">
        <f t="shared" si="16"/>
        <v>9803.3000000000011</v>
      </c>
      <c r="AY110" s="127"/>
      <c r="AZ110" s="27"/>
      <c r="BA110" s="223">
        <v>9698</v>
      </c>
      <c r="BB110" s="185">
        <v>15529.15</v>
      </c>
      <c r="BC110" s="204">
        <v>10007</v>
      </c>
      <c r="BD110" s="218">
        <v>9878.0500000000011</v>
      </c>
      <c r="BE110" s="224">
        <v>24711.498613904783</v>
      </c>
      <c r="BF110" s="219"/>
      <c r="BG110" s="221">
        <v>6000</v>
      </c>
      <c r="BH110" s="226">
        <v>6000</v>
      </c>
      <c r="BI110" s="220">
        <v>6000</v>
      </c>
      <c r="BJ110" s="227">
        <v>9878</v>
      </c>
      <c r="BK110" s="221">
        <v>9000</v>
      </c>
      <c r="BL110" s="128">
        <v>14280</v>
      </c>
      <c r="BM110" s="128">
        <v>14332</v>
      </c>
    </row>
    <row r="111" spans="1:65" x14ac:dyDescent="0.3">
      <c r="A111" s="111" t="s">
        <v>65</v>
      </c>
      <c r="B111" s="111" t="s">
        <v>408</v>
      </c>
      <c r="C111" s="138" t="s">
        <v>65</v>
      </c>
      <c r="D111" s="113" t="s">
        <v>302</v>
      </c>
      <c r="E111" s="113" t="s">
        <v>299</v>
      </c>
      <c r="F111" s="111"/>
      <c r="G111" s="46">
        <f t="shared" si="18"/>
        <v>44439.845185917569</v>
      </c>
      <c r="H111" s="111"/>
      <c r="I111" s="114">
        <v>115493</v>
      </c>
      <c r="J111" s="47">
        <v>86634</v>
      </c>
      <c r="K111" s="47">
        <v>104307</v>
      </c>
      <c r="L111" s="47">
        <v>84350</v>
      </c>
      <c r="M111" s="47">
        <v>90191</v>
      </c>
      <c r="N111" s="114">
        <v>81725</v>
      </c>
      <c r="O111" s="47">
        <v>23995</v>
      </c>
      <c r="P111" s="47">
        <v>70494</v>
      </c>
      <c r="Q111" s="115">
        <v>25025</v>
      </c>
      <c r="R111" s="47">
        <v>29232</v>
      </c>
      <c r="S111" s="47"/>
      <c r="T111" s="114">
        <v>59885</v>
      </c>
      <c r="U111" s="47">
        <v>25729</v>
      </c>
      <c r="V111" s="47">
        <v>101208</v>
      </c>
      <c r="W111" s="47">
        <v>18669</v>
      </c>
      <c r="X111" s="114">
        <v>11815</v>
      </c>
      <c r="Y111" s="47">
        <v>428</v>
      </c>
      <c r="Z111" s="47">
        <v>10460</v>
      </c>
      <c r="AA111" s="47">
        <v>528</v>
      </c>
      <c r="AB111" s="47"/>
      <c r="AC111" s="16">
        <f t="shared" si="19"/>
        <v>116674.5</v>
      </c>
      <c r="AD111" s="16">
        <f t="shared" si="20"/>
        <v>87713.5</v>
      </c>
      <c r="AE111" s="16">
        <f>SUM(AC111*'Factors &amp; Percentages'!$E$27+AD111*'Factors &amp; Percentages'!$E$28)</f>
        <v>16480.676887541464</v>
      </c>
      <c r="AF111" s="16"/>
      <c r="AG111" s="101">
        <v>0.85</v>
      </c>
      <c r="AH111" s="18">
        <f>AG111*'Factors &amp; Percentages'!$E$31</f>
        <v>11134.869175442169</v>
      </c>
      <c r="AI111" s="18"/>
      <c r="AJ111" s="18">
        <v>1446</v>
      </c>
      <c r="AK111" s="18">
        <f>AJ111*'Factors &amp; Percentages'!$E$34</f>
        <v>3025.567106237123</v>
      </c>
      <c r="AL111" s="18"/>
      <c r="AM111" s="30">
        <v>79</v>
      </c>
      <c r="AN111" s="30">
        <v>71</v>
      </c>
      <c r="AO111" s="30">
        <v>124</v>
      </c>
      <c r="AP111" s="116">
        <v>124</v>
      </c>
      <c r="AQ111" s="115">
        <v>10142</v>
      </c>
      <c r="AR111" s="115">
        <f t="shared" si="14"/>
        <v>10142</v>
      </c>
      <c r="AS111" s="18">
        <f>AN111*'Factors &amp; Percentages'!$E$37+AP111*'Factors &amp; Percentages'!$E$38+AR111*'Factors &amp; Percentages'!$E$39</f>
        <v>13798.73201669682</v>
      </c>
      <c r="AT111" s="18"/>
      <c r="AU111" s="18">
        <f t="shared" si="15"/>
        <v>44439.845185917569</v>
      </c>
      <c r="AV111" s="69">
        <f t="shared" si="17"/>
        <v>44439.845185917569</v>
      </c>
      <c r="AW111" s="46">
        <f>IF($BG111&gt;$AV111,$BG111*(1+'Factors &amp; Percentages'!$B$24),
IF($AU111&gt;$AV111,$AV111,
IF($AU111&gt;$BG111,$AU111,
$BG111*(1+'Factors &amp; Percentages'!$B$24))))</f>
        <v>44439.845185917569</v>
      </c>
      <c r="AX111" s="46">
        <f t="shared" si="16"/>
        <v>44439.845185917569</v>
      </c>
      <c r="AY111" s="69"/>
      <c r="AZ111" s="27"/>
      <c r="BA111" s="21">
        <v>45150</v>
      </c>
      <c r="BB111" s="46">
        <v>49350</v>
      </c>
      <c r="BC111" s="119">
        <v>49534</v>
      </c>
      <c r="BD111" s="120">
        <v>50429.999999999993</v>
      </c>
      <c r="BE111" s="120">
        <v>49199.999999999993</v>
      </c>
      <c r="BF111" s="69"/>
      <c r="BG111" s="73">
        <v>30000</v>
      </c>
      <c r="BH111" s="73">
        <v>43000</v>
      </c>
      <c r="BI111" s="117">
        <v>47000</v>
      </c>
      <c r="BJ111" s="118">
        <v>48000</v>
      </c>
      <c r="BK111" s="106">
        <v>49200</v>
      </c>
      <c r="BL111" s="106">
        <v>48000</v>
      </c>
      <c r="BM111" s="106">
        <v>55623</v>
      </c>
    </row>
    <row r="112" spans="1:65" x14ac:dyDescent="0.3">
      <c r="A112" s="121" t="s">
        <v>191</v>
      </c>
      <c r="B112" s="121" t="s">
        <v>191</v>
      </c>
      <c r="C112" s="174" t="s">
        <v>191</v>
      </c>
      <c r="D112" s="122" t="s">
        <v>279</v>
      </c>
      <c r="E112" s="173" t="s">
        <v>279</v>
      </c>
      <c r="F112" s="111"/>
      <c r="G112" s="185">
        <f t="shared" si="18"/>
        <v>11431.550000000001</v>
      </c>
      <c r="H112" s="186"/>
      <c r="I112" s="187">
        <v>17587</v>
      </c>
      <c r="J112" s="188">
        <v>15603</v>
      </c>
      <c r="K112" s="189">
        <v>16675</v>
      </c>
      <c r="L112" s="123">
        <v>16146</v>
      </c>
      <c r="M112" s="123">
        <v>21711</v>
      </c>
      <c r="N112" s="190">
        <v>13130</v>
      </c>
      <c r="O112" s="189">
        <v>13165</v>
      </c>
      <c r="P112" s="188">
        <v>14824</v>
      </c>
      <c r="Q112" s="208">
        <v>17161</v>
      </c>
      <c r="R112" s="123">
        <v>11743</v>
      </c>
      <c r="S112" s="188"/>
      <c r="T112" s="187">
        <v>12092</v>
      </c>
      <c r="U112" s="188">
        <v>12092</v>
      </c>
      <c r="V112" s="189">
        <v>12247</v>
      </c>
      <c r="W112" s="123">
        <v>12133</v>
      </c>
      <c r="X112" s="190">
        <v>0</v>
      </c>
      <c r="Y112" s="189">
        <v>0</v>
      </c>
      <c r="Z112" s="188">
        <v>115</v>
      </c>
      <c r="AA112" s="123">
        <v>11</v>
      </c>
      <c r="AB112" s="191"/>
      <c r="AC112" s="204">
        <f t="shared" si="19"/>
        <v>17587</v>
      </c>
      <c r="AD112" s="205">
        <f t="shared" si="20"/>
        <v>14339.2</v>
      </c>
      <c r="AE112" s="204">
        <f>SUM(AC112*'Factors &amp; Percentages'!$E$27+AD112*'Factors &amp; Percentages'!$E$28)</f>
        <v>2559.3110389445542</v>
      </c>
      <c r="AF112" s="16"/>
      <c r="AG112" s="125">
        <v>0.5</v>
      </c>
      <c r="AH112" s="204">
        <f>AG112*'Factors &amp; Percentages'!$E$31</f>
        <v>6549.9230443777469</v>
      </c>
      <c r="AI112" s="18"/>
      <c r="AJ112" s="126">
        <v>6641</v>
      </c>
      <c r="AK112" s="204">
        <f>AJ112*'Factors &amp; Percentages'!$E$34</f>
        <v>13895.429566058599</v>
      </c>
      <c r="AL112" s="18"/>
      <c r="AM112" s="124">
        <v>20</v>
      </c>
      <c r="AN112" s="211">
        <v>19</v>
      </c>
      <c r="AO112" s="124">
        <v>40</v>
      </c>
      <c r="AP112" s="212">
        <v>40</v>
      </c>
      <c r="AQ112" s="135">
        <v>1676</v>
      </c>
      <c r="AR112" s="179">
        <f t="shared" si="14"/>
        <v>1676</v>
      </c>
      <c r="AS112" s="205">
        <f>AN112*'Factors &amp; Percentages'!$E$37+AP112*'Factors &amp; Percentages'!$E$38+AR112*'Factors &amp; Percentages'!$E$39</f>
        <v>3640.4936734553103</v>
      </c>
      <c r="AT112" s="18"/>
      <c r="AU112" s="203">
        <f t="shared" si="15"/>
        <v>26645.15732283621</v>
      </c>
      <c r="AV112" s="213">
        <f t="shared" si="17"/>
        <v>11431.550000000001</v>
      </c>
      <c r="AW112" s="196">
        <f>IF($BG112&gt;$AV112,$BG112*(1+'Factors &amp; Percentages'!$B$24),
IF($AU112&gt;$AV112,$AV112,
IF($AU112&gt;$BG112,$AU112,
$BG112*(1+'Factors &amp; Percentages'!$B$24))))</f>
        <v>11431.550000000001</v>
      </c>
      <c r="AX112" s="185">
        <f t="shared" si="16"/>
        <v>11431.550000000001</v>
      </c>
      <c r="AY112" s="127"/>
      <c r="AZ112" s="27"/>
      <c r="BA112" s="223">
        <v>10141.950000000001</v>
      </c>
      <c r="BB112" s="185">
        <v>10838.75</v>
      </c>
      <c r="BC112" s="204">
        <v>10495</v>
      </c>
      <c r="BD112" s="218">
        <v>14112.15</v>
      </c>
      <c r="BE112" s="224">
        <v>18858.474999999999</v>
      </c>
      <c r="BF112" s="219"/>
      <c r="BG112" s="221">
        <v>7000</v>
      </c>
      <c r="BH112" s="226">
        <v>7000</v>
      </c>
      <c r="BI112" s="220">
        <v>7000</v>
      </c>
      <c r="BJ112" s="227">
        <v>7000</v>
      </c>
      <c r="BK112" s="221">
        <v>5000</v>
      </c>
      <c r="BL112" s="128">
        <v>16537</v>
      </c>
      <c r="BM112" s="128">
        <v>16500</v>
      </c>
    </row>
    <row r="113" spans="1:65" x14ac:dyDescent="0.3">
      <c r="A113" s="111" t="s">
        <v>84</v>
      </c>
      <c r="B113" s="111" t="s">
        <v>84</v>
      </c>
      <c r="C113" s="112" t="s">
        <v>84</v>
      </c>
      <c r="D113" s="113" t="s">
        <v>279</v>
      </c>
      <c r="E113" s="113" t="s">
        <v>314</v>
      </c>
      <c r="F113" s="111"/>
      <c r="G113" s="46">
        <f t="shared" si="18"/>
        <v>40593.15</v>
      </c>
      <c r="H113" s="111"/>
      <c r="I113" s="114">
        <v>62451</v>
      </c>
      <c r="J113" s="47">
        <v>58133</v>
      </c>
      <c r="K113" s="47">
        <v>54928</v>
      </c>
      <c r="L113" s="47">
        <v>48627</v>
      </c>
      <c r="M113" s="47">
        <v>44815</v>
      </c>
      <c r="N113" s="114">
        <v>18955</v>
      </c>
      <c r="O113" s="47">
        <v>11182</v>
      </c>
      <c r="P113" s="47">
        <v>29634</v>
      </c>
      <c r="Q113" s="115">
        <v>15590</v>
      </c>
      <c r="R113" s="47">
        <v>11342</v>
      </c>
      <c r="S113" s="47"/>
      <c r="T113" s="114">
        <v>11247</v>
      </c>
      <c r="U113" s="47">
        <v>13845</v>
      </c>
      <c r="V113" s="47">
        <v>13984</v>
      </c>
      <c r="W113" s="47">
        <v>14894</v>
      </c>
      <c r="X113" s="114">
        <v>38</v>
      </c>
      <c r="Y113" s="47">
        <v>50</v>
      </c>
      <c r="Z113" s="47">
        <v>369</v>
      </c>
      <c r="AA113" s="47">
        <v>8015</v>
      </c>
      <c r="AB113" s="47"/>
      <c r="AC113" s="16">
        <f t="shared" si="19"/>
        <v>62454.8</v>
      </c>
      <c r="AD113" s="16">
        <f t="shared" si="20"/>
        <v>20079.7</v>
      </c>
      <c r="AE113" s="16">
        <f>SUM(AC113*'Factors &amp; Percentages'!$E$27+AD113*'Factors &amp; Percentages'!$E$28)</f>
        <v>7016.6001663818251</v>
      </c>
      <c r="AF113" s="16"/>
      <c r="AG113" s="101">
        <v>0.4</v>
      </c>
      <c r="AH113" s="18">
        <f>AG113*'Factors &amp; Percentages'!$E$31</f>
        <v>5239.9384355021975</v>
      </c>
      <c r="AI113" s="18"/>
      <c r="AJ113" s="18">
        <v>9866</v>
      </c>
      <c r="AK113" s="18">
        <f>AJ113*'Factors &amp; Percentages'!$E$34</f>
        <v>20643.323008392432</v>
      </c>
      <c r="AL113" s="18"/>
      <c r="AM113" s="137">
        <v>85</v>
      </c>
      <c r="AN113" s="30">
        <v>85</v>
      </c>
      <c r="AO113" s="30">
        <v>83</v>
      </c>
      <c r="AP113" s="116">
        <v>83</v>
      </c>
      <c r="AQ113" s="115">
        <v>3570</v>
      </c>
      <c r="AR113" s="115">
        <f t="shared" si="14"/>
        <v>3570</v>
      </c>
      <c r="AS113" s="18">
        <f>AN113*'Factors &amp; Percentages'!$E$37+AP113*'Factors &amp; Percentages'!$E$38+AR113*'Factors &amp; Percentages'!$E$39</f>
        <v>13234.504155033419</v>
      </c>
      <c r="AT113" s="18"/>
      <c r="AU113" s="18">
        <f t="shared" si="15"/>
        <v>46134.365765309871</v>
      </c>
      <c r="AV113" s="69">
        <f t="shared" si="17"/>
        <v>40593.15</v>
      </c>
      <c r="AW113" s="46">
        <f>IF($BG113&gt;$AV113,$BG113*(1+'Factors &amp; Percentages'!$B$24),
IF($AU113&gt;$AV113,$AV113,
IF($AU113&gt;$BG113,$AU113,
$BG113*(1+'Factors &amp; Percentages'!$B$24))))</f>
        <v>40593.15</v>
      </c>
      <c r="AX113" s="46">
        <f t="shared" si="16"/>
        <v>40593.15</v>
      </c>
      <c r="AY113" s="69"/>
      <c r="AZ113" s="27"/>
      <c r="BA113" s="21">
        <v>37786.450000000004</v>
      </c>
      <c r="BB113" s="46">
        <v>35703.200000000004</v>
      </c>
      <c r="BC113" s="119">
        <v>31608</v>
      </c>
      <c r="BD113" s="120">
        <v>29129.75</v>
      </c>
      <c r="BE113" s="120">
        <v>37542.200000000004</v>
      </c>
      <c r="BF113" s="69"/>
      <c r="BG113" s="73">
        <v>30000</v>
      </c>
      <c r="BH113" s="73">
        <v>28000</v>
      </c>
      <c r="BI113" s="117">
        <v>26000</v>
      </c>
      <c r="BJ113" s="118">
        <v>24000</v>
      </c>
      <c r="BK113" s="106">
        <v>24000</v>
      </c>
      <c r="BL113" s="106">
        <v>20000</v>
      </c>
      <c r="BM113" s="106">
        <v>29946</v>
      </c>
    </row>
    <row r="114" spans="1:65" x14ac:dyDescent="0.3">
      <c r="A114" s="121" t="s">
        <v>51</v>
      </c>
      <c r="B114" s="121" t="s">
        <v>51</v>
      </c>
      <c r="C114" s="174" t="s">
        <v>51</v>
      </c>
      <c r="D114" s="122" t="s">
        <v>279</v>
      </c>
      <c r="E114" s="173" t="s">
        <v>281</v>
      </c>
      <c r="F114" s="111"/>
      <c r="G114" s="185">
        <f t="shared" si="18"/>
        <v>9515.35</v>
      </c>
      <c r="H114" s="186"/>
      <c r="I114" s="187">
        <v>14639</v>
      </c>
      <c r="J114" s="188">
        <v>14591</v>
      </c>
      <c r="K114" s="189">
        <v>12227</v>
      </c>
      <c r="L114" s="123">
        <v>11485</v>
      </c>
      <c r="M114" s="123">
        <v>11200</v>
      </c>
      <c r="N114" s="190">
        <v>4260</v>
      </c>
      <c r="O114" s="189">
        <v>23642</v>
      </c>
      <c r="P114" s="188">
        <v>40058</v>
      </c>
      <c r="Q114" s="208">
        <v>44037</v>
      </c>
      <c r="R114" s="123">
        <v>49759</v>
      </c>
      <c r="S114" s="188"/>
      <c r="T114" s="187">
        <v>144160</v>
      </c>
      <c r="U114" s="188">
        <v>0</v>
      </c>
      <c r="V114" s="189">
        <v>184</v>
      </c>
      <c r="W114" s="123">
        <v>130635</v>
      </c>
      <c r="X114" s="190">
        <v>4475</v>
      </c>
      <c r="Y114" s="189">
        <v>0</v>
      </c>
      <c r="Z114" s="188">
        <v>0</v>
      </c>
      <c r="AA114" s="123">
        <v>68</v>
      </c>
      <c r="AB114" s="191"/>
      <c r="AC114" s="204">
        <f t="shared" si="19"/>
        <v>15086.5</v>
      </c>
      <c r="AD114" s="205">
        <f t="shared" si="20"/>
        <v>18676</v>
      </c>
      <c r="AE114" s="204">
        <f>SUM(AC114*'Factors &amp; Percentages'!$E$27+AD114*'Factors &amp; Percentages'!$E$28)</f>
        <v>2623.7533128251862</v>
      </c>
      <c r="AF114" s="16"/>
      <c r="AG114" s="125">
        <v>0.25</v>
      </c>
      <c r="AH114" s="204">
        <f>AG114*'Factors &amp; Percentages'!$E$31</f>
        <v>3274.9615221888735</v>
      </c>
      <c r="AI114" s="18"/>
      <c r="AJ114" s="126">
        <v>8181</v>
      </c>
      <c r="AK114" s="204">
        <f>AJ114*'Factors &amp; Percentages'!$E$34</f>
        <v>17117.67945790173</v>
      </c>
      <c r="AL114" s="18"/>
      <c r="AM114" s="124">
        <v>18</v>
      </c>
      <c r="AN114" s="211">
        <v>18</v>
      </c>
      <c r="AO114" s="124">
        <v>44</v>
      </c>
      <c r="AP114" s="212">
        <v>43</v>
      </c>
      <c r="AQ114" s="135">
        <v>801</v>
      </c>
      <c r="AR114" s="179">
        <f t="shared" si="14"/>
        <v>801</v>
      </c>
      <c r="AS114" s="205">
        <f>AN114*'Factors &amp; Percentages'!$E$37+AP114*'Factors &amp; Percentages'!$E$38+AR114*'Factors &amp; Percentages'!$E$39</f>
        <v>3407.937267275423</v>
      </c>
      <c r="AT114" s="18"/>
      <c r="AU114" s="203">
        <f t="shared" si="15"/>
        <v>26424.331560191211</v>
      </c>
      <c r="AV114" s="213">
        <f t="shared" si="17"/>
        <v>9515.35</v>
      </c>
      <c r="AW114" s="196">
        <f>IF($BG114&gt;$AV114,$BG114*(1+'Factors &amp; Percentages'!$B$24),
IF($AU114&gt;$AV114,$AV114,
IF($AU114&gt;$BG114,$AU114,
$BG114*(1+'Factors &amp; Percentages'!$B$24))))</f>
        <v>9515.35</v>
      </c>
      <c r="AX114" s="185">
        <f t="shared" si="16"/>
        <v>9515.35</v>
      </c>
      <c r="AY114" s="127"/>
      <c r="AZ114" s="27"/>
      <c r="BA114" s="223">
        <v>24480.367559119215</v>
      </c>
      <c r="BB114" s="185">
        <v>26466</v>
      </c>
      <c r="BC114" s="204">
        <v>7465</v>
      </c>
      <c r="BD114" s="218">
        <v>9225</v>
      </c>
      <c r="BE114" s="224">
        <v>10551.550000000001</v>
      </c>
      <c r="BF114" s="219"/>
      <c r="BG114" s="221">
        <v>2000</v>
      </c>
      <c r="BH114" s="226">
        <v>2000</v>
      </c>
      <c r="BI114" s="220">
        <v>7500</v>
      </c>
      <c r="BJ114" s="227">
        <v>7500</v>
      </c>
      <c r="BK114" s="221">
        <v>9000</v>
      </c>
      <c r="BL114" s="128">
        <v>9000</v>
      </c>
      <c r="BM114" s="128">
        <v>9000</v>
      </c>
    </row>
    <row r="115" spans="1:65" x14ac:dyDescent="0.3">
      <c r="A115" s="111" t="s">
        <v>409</v>
      </c>
      <c r="B115" s="111" t="s">
        <v>409</v>
      </c>
      <c r="C115" s="112" t="s">
        <v>169</v>
      </c>
      <c r="D115" s="113" t="s">
        <v>302</v>
      </c>
      <c r="E115" s="113" t="s">
        <v>317</v>
      </c>
      <c r="F115" s="111"/>
      <c r="G115" s="46">
        <f t="shared" si="18"/>
        <v>52466.05</v>
      </c>
      <c r="H115" s="111"/>
      <c r="I115" s="114">
        <v>80717</v>
      </c>
      <c r="J115" s="47">
        <v>85024</v>
      </c>
      <c r="K115" s="47">
        <v>83484</v>
      </c>
      <c r="L115" s="47">
        <v>76585</v>
      </c>
      <c r="M115" s="47">
        <v>74435</v>
      </c>
      <c r="N115" s="114">
        <v>42655</v>
      </c>
      <c r="O115" s="47">
        <v>41531</v>
      </c>
      <c r="P115" s="47">
        <v>45607</v>
      </c>
      <c r="Q115" s="115">
        <v>154286</v>
      </c>
      <c r="R115" s="47">
        <v>146832</v>
      </c>
      <c r="S115" s="47"/>
      <c r="T115" s="114">
        <v>299654</v>
      </c>
      <c r="U115" s="47">
        <v>319141</v>
      </c>
      <c r="V115" s="47">
        <v>417334</v>
      </c>
      <c r="W115" s="47">
        <v>384561</v>
      </c>
      <c r="X115" s="114">
        <v>22378</v>
      </c>
      <c r="Y115" s="47">
        <v>54239</v>
      </c>
      <c r="Z115" s="47">
        <v>15221</v>
      </c>
      <c r="AA115" s="47">
        <v>2584</v>
      </c>
      <c r="AB115" s="47"/>
      <c r="AC115" s="16">
        <f t="shared" si="19"/>
        <v>82954.8</v>
      </c>
      <c r="AD115" s="16">
        <f t="shared" si="20"/>
        <v>72620.399999999994</v>
      </c>
      <c r="AE115" s="16">
        <f>SUM(AC115*'Factors &amp; Percentages'!$E$27+AD115*'Factors &amp; Percentages'!$E$28)</f>
        <v>12406.718945887136</v>
      </c>
      <c r="AF115" s="16"/>
      <c r="AG115" s="101">
        <v>2</v>
      </c>
      <c r="AH115" s="18">
        <f>AG115*'Factors &amp; Percentages'!$E$31</f>
        <v>26199.692177510988</v>
      </c>
      <c r="AI115" s="18"/>
      <c r="AJ115" s="18">
        <v>510</v>
      </c>
      <c r="AK115" s="18">
        <f>AJ115*'Factors &amp; Percentages'!$E$34</f>
        <v>1067.1087304155828</v>
      </c>
      <c r="AL115" s="18"/>
      <c r="AM115" s="30">
        <v>75</v>
      </c>
      <c r="AN115" s="30">
        <v>76</v>
      </c>
      <c r="AO115" s="30">
        <v>121</v>
      </c>
      <c r="AP115" s="116">
        <v>118</v>
      </c>
      <c r="AQ115" s="115">
        <v>22382</v>
      </c>
      <c r="AR115" s="115">
        <f t="shared" si="14"/>
        <v>22382</v>
      </c>
      <c r="AS115" s="18">
        <f>AN115*'Factors &amp; Percentages'!$E$37+AP115*'Factors &amp; Percentages'!$E$38+AR115*'Factors &amp; Percentages'!$E$39</f>
        <v>16778.590630536059</v>
      </c>
      <c r="AT115" s="18"/>
      <c r="AU115" s="18">
        <f t="shared" si="15"/>
        <v>56452.11048434976</v>
      </c>
      <c r="AV115" s="69">
        <f t="shared" ref="AV115:AV146" si="21">IF($N115&gt;($J115+$K115+$I115)/3,$AU115,MIN(AU115,$I115*0.65))</f>
        <v>52466.05</v>
      </c>
      <c r="AW115" s="46">
        <f>IF($BG115&gt;$AV115,$BG115*(1+'Factors &amp; Percentages'!$B$24),
IF($AU115&gt;$AV115,$AV115,
IF($AU115&gt;$BG115,$AU115,
$BG115*(1+'Factors &amp; Percentages'!$B$24))))</f>
        <v>52466.05</v>
      </c>
      <c r="AX115" s="46">
        <f t="shared" si="16"/>
        <v>52466.05</v>
      </c>
      <c r="AY115" s="69"/>
      <c r="AZ115" s="27"/>
      <c r="BA115" s="21">
        <v>52074.00305824916</v>
      </c>
      <c r="BB115" s="46">
        <v>52269</v>
      </c>
      <c r="BC115" s="119">
        <v>49780</v>
      </c>
      <c r="BD115" s="120">
        <v>48382.75</v>
      </c>
      <c r="BE115" s="120">
        <v>60917.795581055158</v>
      </c>
      <c r="BF115" s="69"/>
      <c r="BG115" s="73">
        <v>20000</v>
      </c>
      <c r="BH115" s="73">
        <v>30000</v>
      </c>
      <c r="BI115" s="117">
        <v>49780</v>
      </c>
      <c r="BJ115" s="118">
        <v>48483</v>
      </c>
      <c r="BK115" s="106">
        <v>45000</v>
      </c>
      <c r="BL115" s="106">
        <v>35700</v>
      </c>
      <c r="BM115" s="106">
        <v>35000</v>
      </c>
    </row>
    <row r="116" spans="1:65" x14ac:dyDescent="0.3">
      <c r="A116" s="121" t="s">
        <v>168</v>
      </c>
      <c r="B116" s="121" t="s">
        <v>168</v>
      </c>
      <c r="C116" s="174" t="s">
        <v>168</v>
      </c>
      <c r="D116" s="122" t="s">
        <v>302</v>
      </c>
      <c r="E116" s="173" t="s">
        <v>317</v>
      </c>
      <c r="F116" s="111"/>
      <c r="G116" s="185">
        <f t="shared" si="18"/>
        <v>13320.620720598788</v>
      </c>
      <c r="H116" s="186"/>
      <c r="I116" s="187">
        <v>23411</v>
      </c>
      <c r="J116" s="188">
        <v>21424</v>
      </c>
      <c r="K116" s="189">
        <v>19679</v>
      </c>
      <c r="L116" s="123">
        <v>15733</v>
      </c>
      <c r="M116" s="123">
        <v>13804</v>
      </c>
      <c r="N116" s="190">
        <v>27918</v>
      </c>
      <c r="O116" s="189">
        <v>3525</v>
      </c>
      <c r="P116" s="188">
        <v>3546</v>
      </c>
      <c r="Q116" s="208">
        <v>1352</v>
      </c>
      <c r="R116" s="123">
        <v>1841</v>
      </c>
      <c r="S116" s="188"/>
      <c r="T116" s="187">
        <v>0</v>
      </c>
      <c r="U116" s="188">
        <v>0</v>
      </c>
      <c r="V116" s="189">
        <v>0</v>
      </c>
      <c r="W116" s="123">
        <v>0</v>
      </c>
      <c r="X116" s="190">
        <v>0</v>
      </c>
      <c r="Y116" s="189">
        <v>0</v>
      </c>
      <c r="Z116" s="188">
        <v>0</v>
      </c>
      <c r="AA116" s="123">
        <v>1213</v>
      </c>
      <c r="AB116" s="191"/>
      <c r="AC116" s="204">
        <f t="shared" si="19"/>
        <v>23411</v>
      </c>
      <c r="AD116" s="205">
        <f t="shared" si="20"/>
        <v>27918</v>
      </c>
      <c r="AE116" s="204">
        <f>SUM(AC116*'Factors &amp; Percentages'!$E$27+AD116*'Factors &amp; Percentages'!$E$28)</f>
        <v>4000.0767704709997</v>
      </c>
      <c r="AF116" s="16"/>
      <c r="AG116" s="125">
        <v>0.25</v>
      </c>
      <c r="AH116" s="204">
        <f>AG116*'Factors &amp; Percentages'!$E$31</f>
        <v>3274.9615221888735</v>
      </c>
      <c r="AI116" s="18"/>
      <c r="AJ116" s="126">
        <v>900</v>
      </c>
      <c r="AK116" s="204">
        <f>AJ116*'Factors &amp; Percentages'!$E$34</f>
        <v>1883.1330536745579</v>
      </c>
      <c r="AL116" s="18"/>
      <c r="AM116" s="124">
        <v>16</v>
      </c>
      <c r="AN116" s="211">
        <v>22</v>
      </c>
      <c r="AO116" s="124">
        <v>24</v>
      </c>
      <c r="AP116" s="212">
        <v>28</v>
      </c>
      <c r="AQ116" s="135">
        <v>3785</v>
      </c>
      <c r="AR116" s="179">
        <f t="shared" si="14"/>
        <v>3785</v>
      </c>
      <c r="AS116" s="205">
        <f>AN116*'Factors &amp; Percentages'!$E$37+AP116*'Factors &amp; Percentages'!$E$38+AR116*'Factors &amp; Percentages'!$E$39</f>
        <v>4162.4493742643572</v>
      </c>
      <c r="AT116" s="18"/>
      <c r="AU116" s="203">
        <f t="shared" si="15"/>
        <v>13320.620720598788</v>
      </c>
      <c r="AV116" s="213">
        <f t="shared" si="21"/>
        <v>13320.620720598788</v>
      </c>
      <c r="AW116" s="196">
        <f>IF($BG116&gt;$AV116,$BG116*(1+'Factors &amp; Percentages'!$B$24),
IF($AU116&gt;$AV116,$AV116,
IF($AU116&gt;$BG116,$AU116,
$BG116*(1+'Factors &amp; Percentages'!$B$24))))</f>
        <v>13320.620720598788</v>
      </c>
      <c r="AX116" s="185">
        <f t="shared" si="16"/>
        <v>13320.620720598788</v>
      </c>
      <c r="AY116" s="127"/>
      <c r="AZ116" s="27"/>
      <c r="BA116" s="223">
        <v>9772.2257144181422</v>
      </c>
      <c r="BB116" s="185">
        <v>9092.6130496962251</v>
      </c>
      <c r="BC116" s="204">
        <v>10226</v>
      </c>
      <c r="BD116" s="218">
        <v>8972.6</v>
      </c>
      <c r="BE116" s="224">
        <v>8810.2488694375788</v>
      </c>
      <c r="BF116" s="219"/>
      <c r="BG116" s="221">
        <v>4000</v>
      </c>
      <c r="BH116" s="226">
        <v>4000</v>
      </c>
      <c r="BI116" s="220">
        <v>4000</v>
      </c>
      <c r="BJ116" s="227">
        <v>4000</v>
      </c>
      <c r="BK116" s="221">
        <v>5000</v>
      </c>
      <c r="BL116" s="128">
        <v>3990</v>
      </c>
      <c r="BM116" s="128">
        <v>3800</v>
      </c>
    </row>
    <row r="117" spans="1:65" x14ac:dyDescent="0.3">
      <c r="A117" s="111" t="s">
        <v>410</v>
      </c>
      <c r="B117" s="111" t="s">
        <v>410</v>
      </c>
      <c r="C117" s="112" t="s">
        <v>231</v>
      </c>
      <c r="D117" s="113" t="s">
        <v>295</v>
      </c>
      <c r="E117" s="113" t="s">
        <v>295</v>
      </c>
      <c r="F117" s="111"/>
      <c r="G117" s="46">
        <f t="shared" si="18"/>
        <v>14175</v>
      </c>
      <c r="H117" s="111"/>
      <c r="I117" s="114">
        <v>23301</v>
      </c>
      <c r="J117" s="47">
        <v>18995</v>
      </c>
      <c r="K117" s="47">
        <v>28812</v>
      </c>
      <c r="L117" s="47">
        <v>26401</v>
      </c>
      <c r="M117" s="47">
        <v>25509</v>
      </c>
      <c r="N117" s="114">
        <v>37616</v>
      </c>
      <c r="O117" s="47">
        <v>34147</v>
      </c>
      <c r="P117" s="47">
        <v>36403</v>
      </c>
      <c r="Q117" s="115">
        <v>18453</v>
      </c>
      <c r="R117" s="47">
        <v>22757</v>
      </c>
      <c r="S117" s="47"/>
      <c r="T117" s="114">
        <v>0</v>
      </c>
      <c r="U117" s="47">
        <v>0</v>
      </c>
      <c r="V117" s="47">
        <v>937</v>
      </c>
      <c r="W117" s="47">
        <v>24471</v>
      </c>
      <c r="X117" s="114">
        <v>0</v>
      </c>
      <c r="Y117" s="47">
        <v>513</v>
      </c>
      <c r="Z117" s="47">
        <v>919</v>
      </c>
      <c r="AA117" s="47">
        <v>94</v>
      </c>
      <c r="AB117" s="47"/>
      <c r="AC117" s="16">
        <f t="shared" si="19"/>
        <v>23301</v>
      </c>
      <c r="AD117" s="16">
        <f t="shared" si="20"/>
        <v>37616</v>
      </c>
      <c r="AE117" s="16">
        <f>SUM(AC117*'Factors &amp; Percentages'!$E$27+AD117*'Factors &amp; Percentages'!$E$28)</f>
        <v>4641.6275921600627</v>
      </c>
      <c r="AF117" s="16"/>
      <c r="AG117" s="101">
        <v>0.25</v>
      </c>
      <c r="AH117" s="18">
        <f>AG117*'Factors &amp; Percentages'!$E$31</f>
        <v>3274.9615221888735</v>
      </c>
      <c r="AI117" s="18"/>
      <c r="AJ117" s="18">
        <v>935</v>
      </c>
      <c r="AK117" s="18">
        <f>AJ117*'Factors &amp; Percentages'!$E$34</f>
        <v>1956.3660057619018</v>
      </c>
      <c r="AL117" s="18"/>
      <c r="AM117" s="139">
        <v>20</v>
      </c>
      <c r="AN117" s="30">
        <v>25</v>
      </c>
      <c r="AO117" s="30">
        <v>39</v>
      </c>
      <c r="AP117" s="116">
        <v>0</v>
      </c>
      <c r="AQ117" s="115">
        <v>1413</v>
      </c>
      <c r="AR117" s="115">
        <f t="shared" si="14"/>
        <v>1413</v>
      </c>
      <c r="AS117" s="18">
        <f>AN117*'Factors &amp; Percentages'!$E$37+AP117*'Factors &amp; Percentages'!$E$38+AR117*'Factors &amp; Percentages'!$E$39</f>
        <v>3394.2032466542478</v>
      </c>
      <c r="AT117" s="18"/>
      <c r="AU117" s="18">
        <f t="shared" si="15"/>
        <v>13267.158366765085</v>
      </c>
      <c r="AV117" s="69">
        <f t="shared" si="21"/>
        <v>13267.158366765085</v>
      </c>
      <c r="AW117" s="46">
        <f>IF($BG117&gt;$AV117,$BG117*(1+'Factors &amp; Percentages'!$B$24),
IF($AU117&gt;$AV117,$AV117,
IF($AU117&gt;$BG117,$AU117,
$BG117*(1+'Factors &amp; Percentages'!$B$24))))</f>
        <v>14175</v>
      </c>
      <c r="AX117" s="46">
        <f t="shared" si="16"/>
        <v>14175</v>
      </c>
      <c r="AY117" s="69"/>
      <c r="AZ117" s="27"/>
      <c r="BA117" s="21">
        <v>14175</v>
      </c>
      <c r="BB117" s="46">
        <v>15750</v>
      </c>
      <c r="BC117" s="119">
        <v>16329</v>
      </c>
      <c r="BD117" s="120">
        <v>15374.999999999998</v>
      </c>
      <c r="BE117" s="89">
        <v>14949.040428070675</v>
      </c>
      <c r="BF117" s="69"/>
      <c r="BG117" s="73">
        <v>13500</v>
      </c>
      <c r="BH117" s="73">
        <v>13500</v>
      </c>
      <c r="BI117" s="117">
        <v>15000</v>
      </c>
      <c r="BJ117" s="118">
        <v>15375</v>
      </c>
      <c r="BK117" s="106">
        <v>15000</v>
      </c>
      <c r="BL117" s="106">
        <v>8000</v>
      </c>
      <c r="BM117" s="106">
        <v>15049</v>
      </c>
    </row>
    <row r="118" spans="1:65" x14ac:dyDescent="0.3">
      <c r="A118" s="121" t="s">
        <v>102</v>
      </c>
      <c r="B118" s="121" t="s">
        <v>102</v>
      </c>
      <c r="C118" s="174" t="s">
        <v>102</v>
      </c>
      <c r="D118" s="122" t="s">
        <v>295</v>
      </c>
      <c r="E118" s="173" t="s">
        <v>295</v>
      </c>
      <c r="F118" s="111"/>
      <c r="G118" s="185">
        <f t="shared" si="18"/>
        <v>12492.35</v>
      </c>
      <c r="H118" s="186"/>
      <c r="I118" s="187">
        <v>19219</v>
      </c>
      <c r="J118" s="188">
        <v>17583</v>
      </c>
      <c r="K118" s="189">
        <v>17096</v>
      </c>
      <c r="L118" s="123">
        <v>20356</v>
      </c>
      <c r="M118" s="123">
        <v>13335</v>
      </c>
      <c r="N118" s="190">
        <v>5217</v>
      </c>
      <c r="O118" s="189">
        <v>6533</v>
      </c>
      <c r="P118" s="188">
        <v>15334</v>
      </c>
      <c r="Q118" s="208">
        <v>8051</v>
      </c>
      <c r="R118" s="123">
        <v>7614</v>
      </c>
      <c r="S118" s="188"/>
      <c r="T118" s="187">
        <v>0</v>
      </c>
      <c r="U118" s="188">
        <v>0</v>
      </c>
      <c r="V118" s="189">
        <v>10667</v>
      </c>
      <c r="W118" s="123">
        <v>0</v>
      </c>
      <c r="X118" s="190">
        <v>0</v>
      </c>
      <c r="Y118" s="189">
        <v>0</v>
      </c>
      <c r="Z118" s="188">
        <v>2500</v>
      </c>
      <c r="AA118" s="123">
        <v>0</v>
      </c>
      <c r="AB118" s="191"/>
      <c r="AC118" s="204">
        <f t="shared" si="19"/>
        <v>19219</v>
      </c>
      <c r="AD118" s="205">
        <f t="shared" si="20"/>
        <v>5217</v>
      </c>
      <c r="AE118" s="204">
        <f>SUM(AC118*'Factors &amp; Percentages'!$E$27+AD118*'Factors &amp; Percentages'!$E$28)</f>
        <v>2094.5610525529805</v>
      </c>
      <c r="AF118" s="16"/>
      <c r="AG118" s="125">
        <v>0.33333333333333331</v>
      </c>
      <c r="AH118" s="204">
        <f>AG118*'Factors &amp; Percentages'!$E$31</f>
        <v>4366.6153629184973</v>
      </c>
      <c r="AI118" s="18"/>
      <c r="AJ118" s="126">
        <v>2045</v>
      </c>
      <c r="AK118" s="204">
        <f>AJ118*'Factors &amp; Percentages'!$E$34</f>
        <v>4278.8967719605234</v>
      </c>
      <c r="AL118" s="18"/>
      <c r="AM118" s="129">
        <v>17</v>
      </c>
      <c r="AN118" s="211">
        <v>16</v>
      </c>
      <c r="AO118" s="129">
        <v>28</v>
      </c>
      <c r="AP118" s="212">
        <v>28</v>
      </c>
      <c r="AQ118" s="135">
        <v>1490</v>
      </c>
      <c r="AR118" s="179">
        <f t="shared" si="14"/>
        <v>1490</v>
      </c>
      <c r="AS118" s="205">
        <f>AN118*'Factors &amp; Percentages'!$E$37+AP118*'Factors &amp; Percentages'!$E$38+AR118*'Factors &amp; Percentages'!$E$39</f>
        <v>2948.4484655971091</v>
      </c>
      <c r="AT118" s="18"/>
      <c r="AU118" s="203">
        <f t="shared" si="15"/>
        <v>13688.521653029111</v>
      </c>
      <c r="AV118" s="213">
        <f t="shared" si="21"/>
        <v>12492.35</v>
      </c>
      <c r="AW118" s="196">
        <f>IF($BG118&gt;$AV118,$BG118*(1+'Factors &amp; Percentages'!$B$24),
IF($AU118&gt;$AV118,$AV118,
IF($AU118&gt;$BG118,$AU118,
$BG118*(1+'Factors &amp; Percentages'!$B$24))))</f>
        <v>12492.35</v>
      </c>
      <c r="AX118" s="185">
        <f t="shared" si="16"/>
        <v>12492.35</v>
      </c>
      <c r="AY118" s="127"/>
      <c r="AZ118" s="27"/>
      <c r="BA118" s="223">
        <v>11428.95</v>
      </c>
      <c r="BB118" s="185">
        <v>11112.4</v>
      </c>
      <c r="BC118" s="204">
        <v>13231</v>
      </c>
      <c r="BD118" s="218">
        <v>8917.5</v>
      </c>
      <c r="BE118" s="224">
        <v>10172.9</v>
      </c>
      <c r="BF118" s="219"/>
      <c r="BG118" s="221">
        <v>10200</v>
      </c>
      <c r="BH118" s="226">
        <v>10400</v>
      </c>
      <c r="BI118" s="220">
        <v>9600</v>
      </c>
      <c r="BJ118" s="227">
        <v>8400</v>
      </c>
      <c r="BK118" s="221">
        <v>8700</v>
      </c>
      <c r="BL118" s="128">
        <v>8700</v>
      </c>
      <c r="BM118" s="128">
        <v>8500</v>
      </c>
    </row>
    <row r="119" spans="1:65" x14ac:dyDescent="0.3">
      <c r="A119" s="111" t="s">
        <v>133</v>
      </c>
      <c r="B119" s="111" t="s">
        <v>133</v>
      </c>
      <c r="C119" s="112" t="s">
        <v>133</v>
      </c>
      <c r="D119" s="113" t="s">
        <v>302</v>
      </c>
      <c r="E119" s="113" t="s">
        <v>298</v>
      </c>
      <c r="F119" s="111"/>
      <c r="G119" s="46">
        <f t="shared" si="18"/>
        <v>23987.25</v>
      </c>
      <c r="H119" s="111"/>
      <c r="I119" s="114">
        <v>39257</v>
      </c>
      <c r="J119" s="47">
        <v>39576</v>
      </c>
      <c r="K119" s="47">
        <v>40914</v>
      </c>
      <c r="L119" s="47">
        <v>32039</v>
      </c>
      <c r="M119" s="47">
        <v>37293</v>
      </c>
      <c r="N119" s="114">
        <v>63408.4</v>
      </c>
      <c r="O119" s="47">
        <v>52239</v>
      </c>
      <c r="P119" s="47">
        <v>56932</v>
      </c>
      <c r="Q119" s="115">
        <v>59838</v>
      </c>
      <c r="R119" s="47">
        <v>52898</v>
      </c>
      <c r="S119" s="47"/>
      <c r="T119" s="114">
        <v>6816.1399999999994</v>
      </c>
      <c r="U119" s="47">
        <v>3871</v>
      </c>
      <c r="V119" s="47">
        <v>1453</v>
      </c>
      <c r="W119" s="47">
        <v>3414</v>
      </c>
      <c r="X119" s="114">
        <v>1076</v>
      </c>
      <c r="Y119" s="47">
        <v>47</v>
      </c>
      <c r="Z119" s="47">
        <v>1023</v>
      </c>
      <c r="AA119" s="47">
        <v>1524</v>
      </c>
      <c r="AB119" s="47"/>
      <c r="AC119" s="16">
        <f t="shared" si="19"/>
        <v>39364.6</v>
      </c>
      <c r="AD119" s="16">
        <f t="shared" si="20"/>
        <v>64090.014000000003</v>
      </c>
      <c r="AE119" s="16">
        <f>SUM(AC119*'Factors &amp; Percentages'!$E$27+AD119*'Factors &amp; Percentages'!$E$28)</f>
        <v>7877.9378193534285</v>
      </c>
      <c r="AF119" s="16"/>
      <c r="AG119" s="101">
        <v>0.2</v>
      </c>
      <c r="AH119" s="18">
        <f>AG119*'Factors &amp; Percentages'!$E$31</f>
        <v>2619.9692177510988</v>
      </c>
      <c r="AI119" s="18"/>
      <c r="AJ119" s="18">
        <v>2841</v>
      </c>
      <c r="AK119" s="18">
        <f>AJ119*'Factors &amp; Percentages'!$E$34</f>
        <v>5944.4233394326875</v>
      </c>
      <c r="AL119" s="18"/>
      <c r="AM119" s="30">
        <v>27</v>
      </c>
      <c r="AN119" s="30">
        <v>23</v>
      </c>
      <c r="AO119" s="30">
        <v>29</v>
      </c>
      <c r="AP119" s="116">
        <v>30</v>
      </c>
      <c r="AQ119" s="115">
        <v>6459</v>
      </c>
      <c r="AR119" s="115">
        <f t="shared" si="14"/>
        <v>6459</v>
      </c>
      <c r="AS119" s="18">
        <f>AN119*'Factors &amp; Percentages'!$E$37+AP119*'Factors &amp; Percentages'!$E$38+AR119*'Factors &amp; Percentages'!$E$39</f>
        <v>4879.606131524477</v>
      </c>
      <c r="AT119" s="18"/>
      <c r="AU119" s="18">
        <f t="shared" si="15"/>
        <v>21321.936508061692</v>
      </c>
      <c r="AV119" s="69">
        <f t="shared" si="21"/>
        <v>21321.936508061692</v>
      </c>
      <c r="AW119" s="46">
        <f>IF($BG119&gt;$AV119,$BG119*(1+'Factors &amp; Percentages'!$B$24),
IF($AU119&gt;$AV119,$AV119,
IF($AU119&gt;$BG119,$AU119,
$BG119*(1+'Factors &amp; Percentages'!$B$24))))</f>
        <v>23987.25</v>
      </c>
      <c r="AX119" s="46">
        <f t="shared" si="16"/>
        <v>23987.25</v>
      </c>
      <c r="AY119" s="69"/>
      <c r="AZ119" s="27"/>
      <c r="BA119" s="21">
        <v>22844.820715062837</v>
      </c>
      <c r="BB119" s="46">
        <v>21470</v>
      </c>
      <c r="BC119" s="119">
        <v>28156</v>
      </c>
      <c r="BD119" s="120">
        <v>31814.974999999999</v>
      </c>
      <c r="BE119" s="120">
        <v>31039.049999999996</v>
      </c>
      <c r="BF119" s="69"/>
      <c r="BG119" s="73">
        <v>22845</v>
      </c>
      <c r="BH119" s="73">
        <v>19000</v>
      </c>
      <c r="BI119" s="117">
        <v>18815</v>
      </c>
      <c r="BJ119" s="118">
        <v>26815</v>
      </c>
      <c r="BK119" s="106">
        <v>31039</v>
      </c>
      <c r="BL119" s="106">
        <v>30282</v>
      </c>
      <c r="BM119" s="106">
        <v>29688</v>
      </c>
    </row>
    <row r="120" spans="1:65" x14ac:dyDescent="0.3">
      <c r="A120" s="121" t="s">
        <v>411</v>
      </c>
      <c r="B120" s="121" t="s">
        <v>411</v>
      </c>
      <c r="C120" s="174" t="s">
        <v>183</v>
      </c>
      <c r="D120" s="122" t="s">
        <v>295</v>
      </c>
      <c r="E120" s="173" t="s">
        <v>296</v>
      </c>
      <c r="F120" s="111"/>
      <c r="G120" s="185">
        <f t="shared" si="18"/>
        <v>66150</v>
      </c>
      <c r="H120" s="186"/>
      <c r="I120" s="187">
        <v>95327</v>
      </c>
      <c r="J120" s="188">
        <v>92470</v>
      </c>
      <c r="K120" s="189">
        <v>88088</v>
      </c>
      <c r="L120" s="123">
        <v>94232</v>
      </c>
      <c r="M120" s="123">
        <v>94357</v>
      </c>
      <c r="N120" s="190">
        <v>59491</v>
      </c>
      <c r="O120" s="189">
        <v>58229</v>
      </c>
      <c r="P120" s="188">
        <v>55655</v>
      </c>
      <c r="Q120" s="208">
        <v>56472</v>
      </c>
      <c r="R120" s="123">
        <v>54916</v>
      </c>
      <c r="S120" s="188"/>
      <c r="T120" s="187">
        <v>102119</v>
      </c>
      <c r="U120" s="188">
        <v>94080</v>
      </c>
      <c r="V120" s="189">
        <v>88805</v>
      </c>
      <c r="W120" s="123">
        <v>88911</v>
      </c>
      <c r="X120" s="190">
        <v>12788</v>
      </c>
      <c r="Y120" s="189">
        <v>8246</v>
      </c>
      <c r="Z120" s="188">
        <v>2379</v>
      </c>
      <c r="AA120" s="123">
        <v>871</v>
      </c>
      <c r="AB120" s="191"/>
      <c r="AC120" s="204">
        <f t="shared" si="19"/>
        <v>96605.8</v>
      </c>
      <c r="AD120" s="205">
        <f t="shared" si="20"/>
        <v>69702.899999999994</v>
      </c>
      <c r="AE120" s="204">
        <f>SUM(AC120*'Factors &amp; Percentages'!$E$27+AD120*'Factors &amp; Percentages'!$E$28)</f>
        <v>13449.505640392468</v>
      </c>
      <c r="AF120" s="16"/>
      <c r="AG120" s="125">
        <v>1</v>
      </c>
      <c r="AH120" s="204">
        <f>AG120*'Factors &amp; Percentages'!$E$31</f>
        <v>13099.846088755494</v>
      </c>
      <c r="AI120" s="18"/>
      <c r="AJ120" s="126">
        <v>6459</v>
      </c>
      <c r="AK120" s="204">
        <f>AJ120*'Factors &amp; Percentages'!$E$34</f>
        <v>13514.618215204409</v>
      </c>
      <c r="AL120" s="18"/>
      <c r="AM120" s="129">
        <v>25</v>
      </c>
      <c r="AN120" s="211">
        <v>25</v>
      </c>
      <c r="AO120" s="131">
        <v>196</v>
      </c>
      <c r="AP120" s="212">
        <v>196</v>
      </c>
      <c r="AQ120" s="135">
        <v>5778</v>
      </c>
      <c r="AR120" s="179">
        <f t="shared" si="14"/>
        <v>5778</v>
      </c>
      <c r="AS120" s="205">
        <f>AN120*'Factors &amp; Percentages'!$E$37+AP120*'Factors &amp; Percentages'!$E$38+AR120*'Factors &amp; Percentages'!$E$39</f>
        <v>8881.4741632181613</v>
      </c>
      <c r="AT120" s="18"/>
      <c r="AU120" s="203">
        <f t="shared" si="15"/>
        <v>48945.444107570533</v>
      </c>
      <c r="AV120" s="213">
        <f t="shared" si="21"/>
        <v>48945.444107570533</v>
      </c>
      <c r="AW120" s="196">
        <f>IF($BG120&gt;$AV120,$BG120*(1+'Factors &amp; Percentages'!$B$24),
IF($AU120&gt;$AV120,$AV120,
IF($AU120&gt;$BG120,$AU120,
$BG120*(1+'Factors &amp; Percentages'!$B$24))))</f>
        <v>66150</v>
      </c>
      <c r="AX120" s="185">
        <f t="shared" si="16"/>
        <v>66150</v>
      </c>
      <c r="AY120" s="127"/>
      <c r="AZ120" s="27"/>
      <c r="BA120" s="223">
        <v>63000</v>
      </c>
      <c r="BB120" s="185">
        <v>71705.55</v>
      </c>
      <c r="BC120" s="204">
        <v>71706</v>
      </c>
      <c r="BD120" s="218">
        <v>68290.625</v>
      </c>
      <c r="BE120" s="224">
        <v>66625</v>
      </c>
      <c r="BF120" s="219"/>
      <c r="BG120" s="221">
        <v>63000</v>
      </c>
      <c r="BH120" s="226">
        <v>63000</v>
      </c>
      <c r="BI120" s="220">
        <v>68291</v>
      </c>
      <c r="BJ120" s="227">
        <v>68291</v>
      </c>
      <c r="BK120" s="221">
        <v>66625</v>
      </c>
      <c r="BL120" s="128">
        <v>65000</v>
      </c>
      <c r="BM120" s="128">
        <v>80964</v>
      </c>
    </row>
    <row r="121" spans="1:65" x14ac:dyDescent="0.3">
      <c r="A121" s="111" t="s">
        <v>103</v>
      </c>
      <c r="B121" s="111" t="s">
        <v>103</v>
      </c>
      <c r="C121" s="112" t="s">
        <v>103</v>
      </c>
      <c r="D121" s="113" t="s">
        <v>295</v>
      </c>
      <c r="E121" s="113" t="s">
        <v>295</v>
      </c>
      <c r="F121" s="111"/>
      <c r="G121" s="46">
        <f t="shared" si="18"/>
        <v>10253.1</v>
      </c>
      <c r="H121" s="111"/>
      <c r="I121" s="114">
        <v>15774</v>
      </c>
      <c r="J121" s="47">
        <v>13994</v>
      </c>
      <c r="K121" s="47">
        <v>5686</v>
      </c>
      <c r="L121" s="47">
        <v>4377</v>
      </c>
      <c r="M121" s="47">
        <v>8366</v>
      </c>
      <c r="N121" s="114">
        <v>4412</v>
      </c>
      <c r="O121" s="47">
        <v>4413</v>
      </c>
      <c r="P121" s="47">
        <v>19995</v>
      </c>
      <c r="Q121" s="115">
        <v>20500</v>
      </c>
      <c r="R121" s="47">
        <v>12649</v>
      </c>
      <c r="S121" s="47"/>
      <c r="T121" s="114">
        <v>2105</v>
      </c>
      <c r="U121" s="47">
        <v>4016</v>
      </c>
      <c r="V121" s="47">
        <v>4955</v>
      </c>
      <c r="W121" s="47">
        <v>5284</v>
      </c>
      <c r="X121" s="114">
        <v>1389</v>
      </c>
      <c r="Y121" s="47">
        <v>38</v>
      </c>
      <c r="Z121" s="47">
        <v>0</v>
      </c>
      <c r="AA121" s="47">
        <v>0</v>
      </c>
      <c r="AB121" s="47"/>
      <c r="AC121" s="16">
        <f t="shared" si="19"/>
        <v>15912.9</v>
      </c>
      <c r="AD121" s="16">
        <f t="shared" si="20"/>
        <v>4622.5</v>
      </c>
      <c r="AE121" s="16">
        <f>SUM(AC121*'Factors &amp; Percentages'!$E$27+AD121*'Factors &amp; Percentages'!$E$28)</f>
        <v>1754.6017326103888</v>
      </c>
      <c r="AF121" s="16"/>
      <c r="AG121" s="101">
        <v>0.16500000000000001</v>
      </c>
      <c r="AH121" s="18">
        <f>AG121*'Factors &amp; Percentages'!$E$31</f>
        <v>2161.4746046446567</v>
      </c>
      <c r="AI121" s="18"/>
      <c r="AJ121" s="18">
        <v>2809</v>
      </c>
      <c r="AK121" s="18">
        <f>AJ121*'Factors &amp; Percentages'!$E$34</f>
        <v>5877.4674975242588</v>
      </c>
      <c r="AL121" s="18"/>
      <c r="AM121" s="30">
        <v>16</v>
      </c>
      <c r="AN121" s="30">
        <v>16</v>
      </c>
      <c r="AO121" s="30">
        <v>37</v>
      </c>
      <c r="AP121" s="116">
        <v>34</v>
      </c>
      <c r="AQ121" s="115">
        <v>4261</v>
      </c>
      <c r="AR121" s="115">
        <f t="shared" si="14"/>
        <v>4261</v>
      </c>
      <c r="AS121" s="18">
        <f>AN121*'Factors &amp; Percentages'!$E$37+AP121*'Factors &amp; Percentages'!$E$38+AR121*'Factors &amp; Percentages'!$E$39</f>
        <v>3654.980575576576</v>
      </c>
      <c r="AT121" s="18"/>
      <c r="AU121" s="18">
        <f t="shared" si="15"/>
        <v>13448.52441035588</v>
      </c>
      <c r="AV121" s="69">
        <f t="shared" si="21"/>
        <v>10253.1</v>
      </c>
      <c r="AW121" s="46">
        <f>IF($BG121&gt;$AV121,$BG121*(1+'Factors &amp; Percentages'!$B$24),
IF($AU121&gt;$AV121,$AV121,
IF($AU121&gt;$BG121,$AU121,
$BG121*(1+'Factors &amp; Percentages'!$B$24))))</f>
        <v>10253.1</v>
      </c>
      <c r="AX121" s="46">
        <f t="shared" si="16"/>
        <v>10253.1</v>
      </c>
      <c r="AY121" s="69"/>
      <c r="AZ121" s="27"/>
      <c r="BA121" s="21">
        <v>10500</v>
      </c>
      <c r="BB121" s="46">
        <v>12771</v>
      </c>
      <c r="BC121" s="119">
        <v>10634</v>
      </c>
      <c r="BD121" s="120">
        <v>10127.65</v>
      </c>
      <c r="BE121" s="120">
        <v>12133.949999999999</v>
      </c>
      <c r="BF121" s="69"/>
      <c r="BG121" s="73">
        <v>9250</v>
      </c>
      <c r="BH121" s="73">
        <v>10000</v>
      </c>
      <c r="BI121" s="117">
        <v>9000</v>
      </c>
      <c r="BJ121" s="118">
        <v>10128</v>
      </c>
      <c r="BK121" s="106">
        <v>9000</v>
      </c>
      <c r="BL121" s="106">
        <v>11838</v>
      </c>
      <c r="BM121" s="106">
        <v>11800</v>
      </c>
    </row>
    <row r="122" spans="1:65" x14ac:dyDescent="0.3">
      <c r="A122" s="121" t="s">
        <v>184</v>
      </c>
      <c r="B122" s="121" t="s">
        <v>184</v>
      </c>
      <c r="C122" s="174" t="s">
        <v>184</v>
      </c>
      <c r="D122" s="122" t="s">
        <v>295</v>
      </c>
      <c r="E122" s="173" t="s">
        <v>296</v>
      </c>
      <c r="F122" s="111"/>
      <c r="G122" s="185">
        <f t="shared" ref="G122:G153" si="22">+AX122</f>
        <v>13332.15</v>
      </c>
      <c r="H122" s="186"/>
      <c r="I122" s="187">
        <v>20511</v>
      </c>
      <c r="J122" s="188">
        <v>19120</v>
      </c>
      <c r="K122" s="189">
        <v>18335</v>
      </c>
      <c r="L122" s="123">
        <v>15591</v>
      </c>
      <c r="M122" s="123">
        <v>11647</v>
      </c>
      <c r="N122" s="190">
        <v>7647</v>
      </c>
      <c r="O122" s="189">
        <v>13040</v>
      </c>
      <c r="P122" s="188">
        <v>12826</v>
      </c>
      <c r="Q122" s="208">
        <v>9968</v>
      </c>
      <c r="R122" s="123">
        <v>14865</v>
      </c>
      <c r="S122" s="188"/>
      <c r="T122" s="187">
        <v>34951</v>
      </c>
      <c r="U122" s="188">
        <v>14336</v>
      </c>
      <c r="V122" s="189">
        <v>8557</v>
      </c>
      <c r="W122" s="123">
        <v>1771</v>
      </c>
      <c r="X122" s="190">
        <v>4866</v>
      </c>
      <c r="Y122" s="189">
        <v>2919</v>
      </c>
      <c r="Z122" s="188">
        <v>11385</v>
      </c>
      <c r="AA122" s="123">
        <v>1557</v>
      </c>
      <c r="AB122" s="191"/>
      <c r="AC122" s="204">
        <f t="shared" si="19"/>
        <v>20997.599999999999</v>
      </c>
      <c r="AD122" s="205">
        <f t="shared" si="20"/>
        <v>11142.1</v>
      </c>
      <c r="AE122" s="204">
        <f>SUM(AC122*'Factors &amp; Percentages'!$E$27+AD122*'Factors &amp; Percentages'!$E$28)</f>
        <v>2654.0254002499478</v>
      </c>
      <c r="AF122" s="16"/>
      <c r="AG122" s="125">
        <v>0.33</v>
      </c>
      <c r="AH122" s="204">
        <f>AG122*'Factors &amp; Percentages'!$E$31</f>
        <v>4322.9492092893133</v>
      </c>
      <c r="AI122" s="18"/>
      <c r="AJ122" s="126">
        <v>1369</v>
      </c>
      <c r="AK122" s="204">
        <f>AJ122*'Factors &amp; Percentages'!$E$34</f>
        <v>2864.4546116449665</v>
      </c>
      <c r="AL122" s="18"/>
      <c r="AM122" s="129">
        <v>25</v>
      </c>
      <c r="AN122" s="211">
        <v>25</v>
      </c>
      <c r="AO122" s="124">
        <v>30</v>
      </c>
      <c r="AP122" s="212">
        <v>30</v>
      </c>
      <c r="AQ122" s="135">
        <v>4429</v>
      </c>
      <c r="AR122" s="179">
        <f t="shared" si="14"/>
        <v>4429</v>
      </c>
      <c r="AS122" s="205">
        <f>AN122*'Factors &amp; Percentages'!$E$37+AP122*'Factors &amp; Percentages'!$E$38+AR122*'Factors &amp; Percentages'!$E$39</f>
        <v>4713.5320526164714</v>
      </c>
      <c r="AT122" s="18"/>
      <c r="AU122" s="203">
        <f t="shared" si="15"/>
        <v>14554.961273800698</v>
      </c>
      <c r="AV122" s="213">
        <f t="shared" si="21"/>
        <v>13332.15</v>
      </c>
      <c r="AW122" s="196">
        <f>IF($BG122&gt;$AV122,$BG122*(1+'Factors &amp; Percentages'!$B$24),
IF($AU122&gt;$AV122,$AV122,
IF($AU122&gt;$BG122,$AU122,
$BG122*(1+'Factors &amp; Percentages'!$B$24))))</f>
        <v>13332.15</v>
      </c>
      <c r="AX122" s="185">
        <f t="shared" si="16"/>
        <v>13332.15</v>
      </c>
      <c r="AY122" s="127"/>
      <c r="AZ122" s="27"/>
      <c r="BA122" s="223">
        <v>12428</v>
      </c>
      <c r="BB122" s="185">
        <v>11917.75</v>
      </c>
      <c r="BC122" s="204">
        <v>14659</v>
      </c>
      <c r="BD122" s="218">
        <v>13960.499999999998</v>
      </c>
      <c r="BE122" s="224">
        <v>13619.725</v>
      </c>
      <c r="BF122" s="219"/>
      <c r="BG122" s="221">
        <v>10000</v>
      </c>
      <c r="BH122" s="226">
        <v>11918</v>
      </c>
      <c r="BI122" s="220">
        <v>6000</v>
      </c>
      <c r="BJ122" s="227">
        <v>13961</v>
      </c>
      <c r="BK122" s="221">
        <v>13620</v>
      </c>
      <c r="BL122" s="128">
        <v>12075</v>
      </c>
      <c r="BM122" s="128">
        <v>11500</v>
      </c>
    </row>
    <row r="123" spans="1:65" x14ac:dyDescent="0.3">
      <c r="A123" s="111" t="s">
        <v>412</v>
      </c>
      <c r="B123" s="111" t="s">
        <v>134</v>
      </c>
      <c r="C123" s="112" t="s">
        <v>134</v>
      </c>
      <c r="D123" s="113" t="s">
        <v>302</v>
      </c>
      <c r="E123" s="113" t="s">
        <v>298</v>
      </c>
      <c r="F123" s="111"/>
      <c r="G123" s="46">
        <f t="shared" si="22"/>
        <v>29038.104974385395</v>
      </c>
      <c r="H123" s="111"/>
      <c r="I123" s="114">
        <v>50732</v>
      </c>
      <c r="J123" s="47">
        <v>33548</v>
      </c>
      <c r="K123" s="47">
        <v>25869</v>
      </c>
      <c r="L123" s="47">
        <v>19127</v>
      </c>
      <c r="M123" s="47">
        <v>25888</v>
      </c>
      <c r="N123" s="114">
        <v>10220</v>
      </c>
      <c r="O123" s="47">
        <v>8493</v>
      </c>
      <c r="P123" s="47">
        <v>13689</v>
      </c>
      <c r="Q123" s="115">
        <v>17925</v>
      </c>
      <c r="R123" s="47">
        <v>11320</v>
      </c>
      <c r="S123" s="47"/>
      <c r="T123" s="114">
        <v>0</v>
      </c>
      <c r="U123" s="47">
        <v>0</v>
      </c>
      <c r="V123" s="47">
        <v>0</v>
      </c>
      <c r="W123" s="47">
        <v>0</v>
      </c>
      <c r="X123" s="114">
        <v>0</v>
      </c>
      <c r="Y123" s="47">
        <v>3809</v>
      </c>
      <c r="Z123" s="47">
        <v>1804</v>
      </c>
      <c r="AA123" s="47">
        <v>0</v>
      </c>
      <c r="AB123" s="47"/>
      <c r="AC123" s="16">
        <f t="shared" si="19"/>
        <v>50732</v>
      </c>
      <c r="AD123" s="16">
        <f t="shared" si="20"/>
        <v>10220</v>
      </c>
      <c r="AE123" s="16">
        <f>SUM(AC123*'Factors &amp; Percentages'!$E$27+AD123*'Factors &amp; Percentages'!$E$28)</f>
        <v>5290.3918647485143</v>
      </c>
      <c r="AF123" s="16"/>
      <c r="AG123" s="101">
        <v>1</v>
      </c>
      <c r="AH123" s="18">
        <f>AG123*'Factors &amp; Percentages'!$E$31</f>
        <v>13099.846088755494</v>
      </c>
      <c r="AI123" s="18"/>
      <c r="AJ123" s="18">
        <v>939</v>
      </c>
      <c r="AK123" s="18">
        <f>AJ123*'Factors &amp; Percentages'!$E$34</f>
        <v>1964.7354860004555</v>
      </c>
      <c r="AL123" s="18"/>
      <c r="AM123" s="30">
        <v>35</v>
      </c>
      <c r="AN123" s="30">
        <v>37</v>
      </c>
      <c r="AO123" s="30">
        <v>64</v>
      </c>
      <c r="AP123" s="116">
        <v>69</v>
      </c>
      <c r="AQ123" s="115">
        <v>12090</v>
      </c>
      <c r="AR123" s="115">
        <f t="shared" si="14"/>
        <v>12090</v>
      </c>
      <c r="AS123" s="18">
        <f>AN123*'Factors &amp; Percentages'!$E$37+AP123*'Factors &amp; Percentages'!$E$38+AR123*'Factors &amp; Percentages'!$E$39</f>
        <v>8683.1315348809294</v>
      </c>
      <c r="AT123" s="18"/>
      <c r="AU123" s="18">
        <f t="shared" si="15"/>
        <v>29038.104974385395</v>
      </c>
      <c r="AV123" s="69">
        <f t="shared" si="21"/>
        <v>29038.104974385395</v>
      </c>
      <c r="AW123" s="46">
        <f>IF($BG123&gt;$AV123,$BG123*(1+'Factors &amp; Percentages'!$B$24),
IF($AU123&gt;$AV123,$AV123,
IF($AU123&gt;$BG123,$AU123,
$BG123*(1+'Factors &amp; Percentages'!$B$24))))</f>
        <v>29038.104974385395</v>
      </c>
      <c r="AX123" s="46">
        <f t="shared" si="16"/>
        <v>29038.104974385395</v>
      </c>
      <c r="AY123" s="69"/>
      <c r="AZ123" s="27"/>
      <c r="BA123" s="21">
        <v>21806.2</v>
      </c>
      <c r="BB123" s="46">
        <v>16814.849999999999</v>
      </c>
      <c r="BC123" s="119">
        <v>12433</v>
      </c>
      <c r="BD123" s="120">
        <v>16827.2</v>
      </c>
      <c r="BE123" s="120">
        <v>20243.5</v>
      </c>
      <c r="BF123" s="69"/>
      <c r="BG123" s="73">
        <v>12000</v>
      </c>
      <c r="BH123" s="73">
        <v>11000</v>
      </c>
      <c r="BI123" s="117">
        <v>12433</v>
      </c>
      <c r="BJ123" s="118">
        <v>10000</v>
      </c>
      <c r="BK123" s="106">
        <v>10000</v>
      </c>
      <c r="BL123" s="106">
        <v>18170</v>
      </c>
      <c r="BM123" s="106">
        <v>18170</v>
      </c>
    </row>
    <row r="124" spans="1:65" x14ac:dyDescent="0.3">
      <c r="A124" s="121" t="s">
        <v>201</v>
      </c>
      <c r="B124" s="121" t="s">
        <v>201</v>
      </c>
      <c r="C124" s="174" t="s">
        <v>201</v>
      </c>
      <c r="D124" s="122" t="s">
        <v>279</v>
      </c>
      <c r="E124" s="173" t="s">
        <v>280</v>
      </c>
      <c r="F124" s="111"/>
      <c r="G124" s="185">
        <f t="shared" si="22"/>
        <v>18325.45</v>
      </c>
      <c r="H124" s="186"/>
      <c r="I124" s="187">
        <v>28193</v>
      </c>
      <c r="J124" s="188">
        <v>28007</v>
      </c>
      <c r="K124" s="189">
        <v>31732</v>
      </c>
      <c r="L124" s="123">
        <v>27807</v>
      </c>
      <c r="M124" s="123">
        <v>26793</v>
      </c>
      <c r="N124" s="190">
        <v>8231</v>
      </c>
      <c r="O124" s="189">
        <v>9284</v>
      </c>
      <c r="P124" s="188">
        <v>10838</v>
      </c>
      <c r="Q124" s="208">
        <v>9852</v>
      </c>
      <c r="R124" s="123">
        <v>10481</v>
      </c>
      <c r="S124" s="188"/>
      <c r="T124" s="187">
        <v>5353</v>
      </c>
      <c r="U124" s="188">
        <v>3802</v>
      </c>
      <c r="V124" s="189">
        <v>1414</v>
      </c>
      <c r="W124" s="123">
        <v>4151</v>
      </c>
      <c r="X124" s="190">
        <v>3652</v>
      </c>
      <c r="Y124" s="189">
        <v>3744</v>
      </c>
      <c r="Z124" s="188">
        <v>9865</v>
      </c>
      <c r="AA124" s="123">
        <v>3275</v>
      </c>
      <c r="AB124" s="191"/>
      <c r="AC124" s="204">
        <f t="shared" si="19"/>
        <v>28558.2</v>
      </c>
      <c r="AD124" s="205">
        <f t="shared" si="20"/>
        <v>8766.2999999999993</v>
      </c>
      <c r="AE124" s="204">
        <f>SUM(AC124*'Factors &amp; Percentages'!$E$27+AD124*'Factors &amp; Percentages'!$E$28)</f>
        <v>3180.517613877701</v>
      </c>
      <c r="AF124" s="16"/>
      <c r="AG124" s="125">
        <v>0.1</v>
      </c>
      <c r="AH124" s="204">
        <f>AG124*'Factors &amp; Percentages'!$E$31</f>
        <v>1309.9846088755494</v>
      </c>
      <c r="AI124" s="18"/>
      <c r="AJ124" s="126">
        <v>10606</v>
      </c>
      <c r="AK124" s="204">
        <f>AJ124*'Factors &amp; Percentages'!$E$34</f>
        <v>22191.676852524844</v>
      </c>
      <c r="AL124" s="18"/>
      <c r="AM124" s="124">
        <v>36</v>
      </c>
      <c r="AN124" s="211">
        <v>36</v>
      </c>
      <c r="AO124" s="124">
        <v>60</v>
      </c>
      <c r="AP124" s="212">
        <v>59</v>
      </c>
      <c r="AQ124" s="135">
        <v>859</v>
      </c>
      <c r="AR124" s="179">
        <f t="shared" si="14"/>
        <v>859</v>
      </c>
      <c r="AS124" s="205">
        <f>AN124*'Factors &amp; Percentages'!$E$37+AP124*'Factors &amp; Percentages'!$E$38+AR124*'Factors &amp; Percentages'!$E$39</f>
        <v>6031.0399340297263</v>
      </c>
      <c r="AT124" s="18"/>
      <c r="AU124" s="203">
        <f t="shared" si="15"/>
        <v>32713.219009307821</v>
      </c>
      <c r="AV124" s="213">
        <f t="shared" si="21"/>
        <v>18325.45</v>
      </c>
      <c r="AW124" s="196">
        <f>IF($BG124&gt;$AV124,$BG124*(1+'Factors &amp; Percentages'!$B$24),
IF($AU124&gt;$AV124,$AV124,
IF($AU124&gt;$BG124,$AU124,
$BG124*(1+'Factors &amp; Percentages'!$B$24))))</f>
        <v>18325.45</v>
      </c>
      <c r="AX124" s="185">
        <f t="shared" si="16"/>
        <v>18325.45</v>
      </c>
      <c r="AY124" s="127"/>
      <c r="AZ124" s="27"/>
      <c r="BA124" s="223">
        <v>18204.55</v>
      </c>
      <c r="BB124" s="185">
        <v>17785.600000000002</v>
      </c>
      <c r="BC124" s="204">
        <v>18075</v>
      </c>
      <c r="BD124" s="218">
        <v>17937.5</v>
      </c>
      <c r="BE124" s="224">
        <v>22810.5</v>
      </c>
      <c r="BF124" s="219"/>
      <c r="BG124" s="221">
        <v>16000</v>
      </c>
      <c r="BH124" s="226">
        <v>15800</v>
      </c>
      <c r="BI124" s="220">
        <v>16800</v>
      </c>
      <c r="BJ124" s="227">
        <v>16600</v>
      </c>
      <c r="BK124" s="221">
        <v>17500</v>
      </c>
      <c r="BL124" s="128">
        <v>16590</v>
      </c>
      <c r="BM124" s="128">
        <v>15797</v>
      </c>
    </row>
    <row r="125" spans="1:65" x14ac:dyDescent="0.3">
      <c r="A125" s="111" t="s">
        <v>413</v>
      </c>
      <c r="B125" s="111" t="s">
        <v>66</v>
      </c>
      <c r="C125" s="138" t="s">
        <v>66</v>
      </c>
      <c r="D125" s="113" t="s">
        <v>302</v>
      </c>
      <c r="E125" s="113" t="s">
        <v>299</v>
      </c>
      <c r="F125" s="111"/>
      <c r="G125" s="46">
        <f t="shared" si="22"/>
        <v>15991.300000000001</v>
      </c>
      <c r="H125" s="111"/>
      <c r="I125" s="114">
        <v>24602</v>
      </c>
      <c r="J125" s="47">
        <v>27150</v>
      </c>
      <c r="K125" s="47">
        <v>26346</v>
      </c>
      <c r="L125" s="47">
        <v>28815</v>
      </c>
      <c r="M125" s="47">
        <v>31043</v>
      </c>
      <c r="N125" s="114">
        <v>14911</v>
      </c>
      <c r="O125" s="47">
        <v>14965</v>
      </c>
      <c r="P125" s="47">
        <v>12137</v>
      </c>
      <c r="Q125" s="115">
        <v>23096</v>
      </c>
      <c r="R125" s="47">
        <v>14701</v>
      </c>
      <c r="S125" s="47"/>
      <c r="T125" s="114">
        <v>1208</v>
      </c>
      <c r="U125" s="47">
        <v>344</v>
      </c>
      <c r="V125" s="47">
        <v>680</v>
      </c>
      <c r="W125" s="47">
        <v>2651</v>
      </c>
      <c r="X125" s="114">
        <v>2584</v>
      </c>
      <c r="Y125" s="47">
        <v>0</v>
      </c>
      <c r="Z125" s="47">
        <v>290</v>
      </c>
      <c r="AA125" s="47">
        <v>427</v>
      </c>
      <c r="AB125" s="47"/>
      <c r="AC125" s="16">
        <f t="shared" si="19"/>
        <v>24860.400000000001</v>
      </c>
      <c r="AD125" s="16">
        <f t="shared" si="20"/>
        <v>15031.8</v>
      </c>
      <c r="AE125" s="16">
        <f>SUM(AC125*'Factors &amp; Percentages'!$E$27+AD125*'Factors &amp; Percentages'!$E$28)</f>
        <v>3265.8825174135909</v>
      </c>
      <c r="AF125" s="16"/>
      <c r="AG125" s="101">
        <v>0.25</v>
      </c>
      <c r="AH125" s="18">
        <f>AG125*'Factors &amp; Percentages'!$E$31</f>
        <v>3274.9615221888735</v>
      </c>
      <c r="AI125" s="18"/>
      <c r="AJ125" s="18">
        <v>6660</v>
      </c>
      <c r="AK125" s="18">
        <f>AJ125*'Factors &amp; Percentages'!$E$34</f>
        <v>13935.184597191728</v>
      </c>
      <c r="AL125" s="18"/>
      <c r="AM125" s="30">
        <v>21</v>
      </c>
      <c r="AN125" s="30">
        <v>25</v>
      </c>
      <c r="AO125" s="30">
        <v>98</v>
      </c>
      <c r="AP125" s="116">
        <v>94</v>
      </c>
      <c r="AQ125" s="115">
        <v>5023</v>
      </c>
      <c r="AR125" s="115">
        <f t="shared" si="14"/>
        <v>5023</v>
      </c>
      <c r="AS125" s="18">
        <f>AN125*'Factors &amp; Percentages'!$E$37+AP125*'Factors &amp; Percentages'!$E$38+AR125*'Factors &amp; Percentages'!$E$39</f>
        <v>6335.5406650849154</v>
      </c>
      <c r="AT125" s="18"/>
      <c r="AU125" s="18">
        <f t="shared" si="15"/>
        <v>26811.569301879106</v>
      </c>
      <c r="AV125" s="69">
        <f t="shared" si="21"/>
        <v>15991.300000000001</v>
      </c>
      <c r="AW125" s="46">
        <f>IF($BG125&gt;$AV125,$BG125*(1+'Factors &amp; Percentages'!$B$24),
IF($AU125&gt;$AV125,$AV125,
IF($AU125&gt;$BG125,$AU125,
$BG125*(1+'Factors &amp; Percentages'!$B$24))))</f>
        <v>15991.300000000001</v>
      </c>
      <c r="AX125" s="46">
        <f t="shared" si="16"/>
        <v>15991.300000000001</v>
      </c>
      <c r="AY125" s="69"/>
      <c r="AZ125" s="27"/>
      <c r="BA125" s="21">
        <v>17647.5</v>
      </c>
      <c r="BB125" s="46">
        <v>17124.900000000001</v>
      </c>
      <c r="BC125" s="119">
        <v>18730</v>
      </c>
      <c r="BD125" s="120">
        <v>20177.95</v>
      </c>
      <c r="BE125" s="120">
        <v>31054.407967609412</v>
      </c>
      <c r="BF125" s="69"/>
      <c r="BG125" s="73">
        <v>12000</v>
      </c>
      <c r="BH125" s="73">
        <v>12000</v>
      </c>
      <c r="BI125" s="117">
        <v>12000</v>
      </c>
      <c r="BJ125" s="118">
        <v>12000</v>
      </c>
      <c r="BK125" s="106">
        <v>12000</v>
      </c>
      <c r="BL125" s="106">
        <v>26724</v>
      </c>
      <c r="BM125" s="106">
        <v>26724</v>
      </c>
    </row>
    <row r="126" spans="1:65" x14ac:dyDescent="0.3">
      <c r="A126" s="121" t="s">
        <v>52</v>
      </c>
      <c r="B126" s="121" t="s">
        <v>52</v>
      </c>
      <c r="C126" s="174" t="s">
        <v>52</v>
      </c>
      <c r="D126" s="122" t="s">
        <v>279</v>
      </c>
      <c r="E126" s="173" t="s">
        <v>281</v>
      </c>
      <c r="F126" s="111"/>
      <c r="G126" s="185">
        <f t="shared" si="22"/>
        <v>21845.764735182795</v>
      </c>
      <c r="H126" s="186"/>
      <c r="I126" s="187">
        <v>18834</v>
      </c>
      <c r="J126" s="188">
        <v>20374</v>
      </c>
      <c r="K126" s="189">
        <v>20289</v>
      </c>
      <c r="L126" s="123">
        <v>13468</v>
      </c>
      <c r="M126" s="123">
        <v>11279</v>
      </c>
      <c r="N126" s="190">
        <v>41171</v>
      </c>
      <c r="O126" s="189">
        <v>42133</v>
      </c>
      <c r="P126" s="188">
        <v>37623</v>
      </c>
      <c r="Q126" s="208">
        <v>32673</v>
      </c>
      <c r="R126" s="123">
        <v>27298</v>
      </c>
      <c r="S126" s="188"/>
      <c r="T126" s="187">
        <v>0</v>
      </c>
      <c r="U126" s="188">
        <v>0</v>
      </c>
      <c r="V126" s="189">
        <v>0</v>
      </c>
      <c r="W126" s="123">
        <v>0</v>
      </c>
      <c r="X126" s="190">
        <v>0</v>
      </c>
      <c r="Y126" s="189">
        <v>0</v>
      </c>
      <c r="Z126" s="188">
        <v>370</v>
      </c>
      <c r="AA126" s="123">
        <v>0</v>
      </c>
      <c r="AB126" s="191"/>
      <c r="AC126" s="204">
        <f t="shared" si="19"/>
        <v>18834</v>
      </c>
      <c r="AD126" s="205">
        <f t="shared" si="20"/>
        <v>41171</v>
      </c>
      <c r="AE126" s="204">
        <f>SUM(AC126*'Factors &amp; Percentages'!$E$27+AD126*'Factors &amp; Percentages'!$E$28)</f>
        <v>4475.0923418145985</v>
      </c>
      <c r="AF126" s="16"/>
      <c r="AG126" s="125">
        <v>0.33</v>
      </c>
      <c r="AH126" s="204">
        <f>AG126*'Factors &amp; Percentages'!$E$31</f>
        <v>4322.9492092893133</v>
      </c>
      <c r="AI126" s="18"/>
      <c r="AJ126" s="126">
        <v>4660</v>
      </c>
      <c r="AK126" s="204">
        <f>AJ126*'Factors &amp; Percentages'!$E$34</f>
        <v>9750.4444779149326</v>
      </c>
      <c r="AL126" s="18"/>
      <c r="AM126" s="124">
        <v>18</v>
      </c>
      <c r="AN126" s="211">
        <v>15</v>
      </c>
      <c r="AO126" s="124">
        <v>46</v>
      </c>
      <c r="AP126" s="212">
        <v>48</v>
      </c>
      <c r="AQ126" s="135">
        <v>1510</v>
      </c>
      <c r="AR126" s="179">
        <f t="shared" si="14"/>
        <v>1510</v>
      </c>
      <c r="AS126" s="205">
        <f>AN126*'Factors &amp; Percentages'!$E$37+AP126*'Factors &amp; Percentages'!$E$38+AR126*'Factors &amp; Percentages'!$E$39</f>
        <v>3297.2787061639515</v>
      </c>
      <c r="AT126" s="18"/>
      <c r="AU126" s="203">
        <f t="shared" si="15"/>
        <v>21845.764735182795</v>
      </c>
      <c r="AV126" s="213">
        <f t="shared" si="21"/>
        <v>21845.764735182795</v>
      </c>
      <c r="AW126" s="196">
        <f>IF($BG126&gt;$AV126,$BG126*(1+'Factors &amp; Percentages'!$B$24),
IF($AU126&gt;$AV126,$AV126,
IF($AU126&gt;$BG126,$AU126,
$BG126*(1+'Factors &amp; Percentages'!$B$24))))</f>
        <v>21845.764735182795</v>
      </c>
      <c r="AX126" s="185">
        <f t="shared" si="16"/>
        <v>21845.764735182795</v>
      </c>
      <c r="AY126" s="127"/>
      <c r="AZ126" s="27"/>
      <c r="BA126" s="223">
        <v>20425.970446612948</v>
      </c>
      <c r="BB126" s="185">
        <v>18629</v>
      </c>
      <c r="BC126" s="204">
        <v>8754</v>
      </c>
      <c r="BD126" s="218">
        <v>7331.35</v>
      </c>
      <c r="BE126" s="224">
        <v>12380.65</v>
      </c>
      <c r="BF126" s="219"/>
      <c r="BG126" s="221">
        <v>10000</v>
      </c>
      <c r="BH126" s="226">
        <v>10000</v>
      </c>
      <c r="BI126" s="220">
        <v>8000</v>
      </c>
      <c r="BJ126" s="227">
        <v>7331</v>
      </c>
      <c r="BK126" s="221">
        <v>5040</v>
      </c>
      <c r="BL126" s="128">
        <v>9000</v>
      </c>
      <c r="BM126" s="128">
        <v>9000</v>
      </c>
    </row>
    <row r="127" spans="1:65" x14ac:dyDescent="0.3">
      <c r="A127" s="111" t="s">
        <v>185</v>
      </c>
      <c r="B127" s="111" t="s">
        <v>185</v>
      </c>
      <c r="C127" s="112" t="s">
        <v>185</v>
      </c>
      <c r="D127" s="113" t="s">
        <v>295</v>
      </c>
      <c r="E127" s="113" t="s">
        <v>296</v>
      </c>
      <c r="F127" s="111"/>
      <c r="G127" s="46">
        <f t="shared" si="22"/>
        <v>12490.800000000001</v>
      </c>
      <c r="H127" s="111"/>
      <c r="I127" s="114">
        <v>15609</v>
      </c>
      <c r="J127" s="47">
        <v>18301</v>
      </c>
      <c r="K127" s="47">
        <v>19583</v>
      </c>
      <c r="L127" s="47">
        <v>17693</v>
      </c>
      <c r="M127" s="47">
        <v>10254</v>
      </c>
      <c r="N127" s="114">
        <v>5574</v>
      </c>
      <c r="O127" s="47">
        <v>5819</v>
      </c>
      <c r="P127" s="47">
        <v>5364</v>
      </c>
      <c r="Q127" s="115">
        <v>10681</v>
      </c>
      <c r="R127" s="47">
        <v>9680</v>
      </c>
      <c r="S127" s="47"/>
      <c r="T127" s="114">
        <v>20708</v>
      </c>
      <c r="U127" s="47">
        <v>11808</v>
      </c>
      <c r="V127" s="47">
        <v>11808</v>
      </c>
      <c r="W127" s="47">
        <v>14247</v>
      </c>
      <c r="X127" s="114">
        <v>0</v>
      </c>
      <c r="Y127" s="47">
        <v>0</v>
      </c>
      <c r="Z127" s="47">
        <v>14</v>
      </c>
      <c r="AA127" s="47">
        <v>5003</v>
      </c>
      <c r="AB127" s="47"/>
      <c r="AC127" s="16">
        <f t="shared" si="19"/>
        <v>15609</v>
      </c>
      <c r="AD127" s="16">
        <f t="shared" si="20"/>
        <v>7644.8</v>
      </c>
      <c r="AE127" s="16">
        <f>SUM(AC127*'Factors &amp; Percentages'!$E$27+AD127*'Factors &amp; Percentages'!$E$28)</f>
        <v>1930.0684186655315</v>
      </c>
      <c r="AF127" s="16"/>
      <c r="AG127" s="101">
        <v>0.33</v>
      </c>
      <c r="AH127" s="18">
        <f>AG127*'Factors &amp; Percentages'!$E$31</f>
        <v>4322.9492092893133</v>
      </c>
      <c r="AI127" s="18"/>
      <c r="AJ127" s="18">
        <v>5395</v>
      </c>
      <c r="AK127" s="18">
        <f>AJ127*'Factors &amp; Percentages'!$E$34</f>
        <v>11288.336471749155</v>
      </c>
      <c r="AL127" s="18"/>
      <c r="AM127" s="30">
        <v>26</v>
      </c>
      <c r="AN127" s="30">
        <v>28</v>
      </c>
      <c r="AO127" s="30">
        <v>64</v>
      </c>
      <c r="AP127" s="116">
        <v>60</v>
      </c>
      <c r="AQ127" s="115">
        <v>2116</v>
      </c>
      <c r="AR127" s="115">
        <f t="shared" si="14"/>
        <v>2116</v>
      </c>
      <c r="AS127" s="18">
        <f>AN127*'Factors &amp; Percentages'!$E$37+AP127*'Factors &amp; Percentages'!$E$38+AR127*'Factors &amp; Percentages'!$E$39</f>
        <v>5317.3552662663415</v>
      </c>
      <c r="AT127" s="18"/>
      <c r="AU127" s="18">
        <f t="shared" si="15"/>
        <v>22858.709365970342</v>
      </c>
      <c r="AV127" s="69">
        <f t="shared" si="21"/>
        <v>10145.85</v>
      </c>
      <c r="AW127" s="46">
        <f>IF($BG127&gt;$AV127,$BG127*(1+'Factors &amp; Percentages'!$B$24),
IF($AU127&gt;$AV127,$AV127,
IF($AU127&gt;$BG127,$AU127,
$BG127*(1+'Factors &amp; Percentages'!$B$24))))</f>
        <v>12490.800000000001</v>
      </c>
      <c r="AX127" s="46">
        <f t="shared" si="16"/>
        <v>12490.800000000001</v>
      </c>
      <c r="AY127" s="69"/>
      <c r="AZ127" s="27"/>
      <c r="BA127" s="21">
        <v>11895.65</v>
      </c>
      <c r="BB127" s="46">
        <v>12728.95</v>
      </c>
      <c r="BC127" s="119">
        <v>11500</v>
      </c>
      <c r="BD127" s="120">
        <v>11369.3</v>
      </c>
      <c r="BE127" s="120">
        <v>11091.7</v>
      </c>
      <c r="BF127" s="69"/>
      <c r="BG127" s="73">
        <v>11896</v>
      </c>
      <c r="BH127" s="73">
        <v>12000</v>
      </c>
      <c r="BI127" s="117">
        <v>11500</v>
      </c>
      <c r="BJ127" s="118">
        <v>11369</v>
      </c>
      <c r="BK127" s="106">
        <v>11092</v>
      </c>
      <c r="BL127" s="106">
        <v>9000</v>
      </c>
      <c r="BM127" s="106">
        <v>9000</v>
      </c>
    </row>
    <row r="128" spans="1:65" x14ac:dyDescent="0.3">
      <c r="A128" s="121" t="s">
        <v>27</v>
      </c>
      <c r="B128" s="121" t="s">
        <v>27</v>
      </c>
      <c r="C128" s="174" t="s">
        <v>27</v>
      </c>
      <c r="D128" s="122" t="s">
        <v>279</v>
      </c>
      <c r="E128" s="173" t="s">
        <v>279</v>
      </c>
      <c r="F128" s="111"/>
      <c r="G128" s="185">
        <f t="shared" si="22"/>
        <v>24281.557065000932</v>
      </c>
      <c r="H128" s="186"/>
      <c r="I128" s="187">
        <v>39346</v>
      </c>
      <c r="J128" s="188">
        <v>34820</v>
      </c>
      <c r="K128" s="189">
        <v>33131</v>
      </c>
      <c r="L128" s="123">
        <v>33500</v>
      </c>
      <c r="M128" s="123">
        <v>26691</v>
      </c>
      <c r="N128" s="190">
        <v>2140</v>
      </c>
      <c r="O128" s="189">
        <v>5175</v>
      </c>
      <c r="P128" s="188">
        <v>14341</v>
      </c>
      <c r="Q128" s="208">
        <v>20434</v>
      </c>
      <c r="R128" s="123">
        <v>23763</v>
      </c>
      <c r="S128" s="188"/>
      <c r="T128" s="187">
        <v>14379</v>
      </c>
      <c r="U128" s="188">
        <v>13920</v>
      </c>
      <c r="V128" s="189">
        <v>12874</v>
      </c>
      <c r="W128" s="123">
        <v>13051</v>
      </c>
      <c r="X128" s="190">
        <v>7184</v>
      </c>
      <c r="Y128" s="189">
        <v>1702</v>
      </c>
      <c r="Z128" s="188">
        <v>853</v>
      </c>
      <c r="AA128" s="123">
        <v>93</v>
      </c>
      <c r="AB128" s="191"/>
      <c r="AC128" s="204">
        <f t="shared" si="19"/>
        <v>40064.400000000001</v>
      </c>
      <c r="AD128" s="205">
        <f t="shared" si="20"/>
        <v>3577.9</v>
      </c>
      <c r="AE128" s="204">
        <f>SUM(AC128*'Factors &amp; Percentages'!$E$27+AD128*'Factors &amp; Percentages'!$E$28)</f>
        <v>3876.1055278176786</v>
      </c>
      <c r="AF128" s="16"/>
      <c r="AG128" s="125">
        <v>0.25</v>
      </c>
      <c r="AH128" s="204">
        <f>AG128*'Factors &amp; Percentages'!$E$31</f>
        <v>3274.9615221888735</v>
      </c>
      <c r="AI128" s="18"/>
      <c r="AJ128" s="126">
        <v>6152</v>
      </c>
      <c r="AK128" s="204">
        <f>AJ128*'Factors &amp; Percentages'!$E$34</f>
        <v>12872.260606895423</v>
      </c>
      <c r="AL128" s="18"/>
      <c r="AM128" s="124">
        <v>27</v>
      </c>
      <c r="AN128" s="211">
        <v>20</v>
      </c>
      <c r="AO128" s="124">
        <v>65</v>
      </c>
      <c r="AP128" s="212">
        <v>65</v>
      </c>
      <c r="AQ128" s="135">
        <v>1222</v>
      </c>
      <c r="AR128" s="179">
        <f t="shared" si="14"/>
        <v>1222</v>
      </c>
      <c r="AS128" s="205">
        <f>AN128*'Factors &amp; Percentages'!$E$37+AP128*'Factors &amp; Percentages'!$E$38+AR128*'Factors &amp; Percentages'!$E$39</f>
        <v>4258.2294080989614</v>
      </c>
      <c r="AT128" s="18"/>
      <c r="AU128" s="203">
        <f t="shared" si="15"/>
        <v>24281.557065000932</v>
      </c>
      <c r="AV128" s="213">
        <f t="shared" si="21"/>
        <v>24281.557065000932</v>
      </c>
      <c r="AW128" s="196">
        <f>IF($BG128&gt;$AV128,$BG128*(1+'Factors &amp; Percentages'!$B$24),
IF($AU128&gt;$AV128,$AV128,
IF($AU128&gt;$BG128,$AU128,
$BG128*(1+'Factors &amp; Percentages'!$B$24))))</f>
        <v>24281.557065000932</v>
      </c>
      <c r="AX128" s="185">
        <f t="shared" si="16"/>
        <v>24281.557065000932</v>
      </c>
      <c r="AY128" s="127"/>
      <c r="AZ128" s="27"/>
      <c r="BA128" s="223">
        <v>22633</v>
      </c>
      <c r="BB128" s="185">
        <v>21535.15</v>
      </c>
      <c r="BC128" s="204">
        <v>21775</v>
      </c>
      <c r="BD128" s="218">
        <v>20715.25</v>
      </c>
      <c r="BE128" s="224">
        <v>20210.224999999999</v>
      </c>
      <c r="BF128" s="219"/>
      <c r="BG128" s="221">
        <v>21535</v>
      </c>
      <c r="BH128" s="226">
        <v>21215</v>
      </c>
      <c r="BI128" s="220">
        <v>21215</v>
      </c>
      <c r="BJ128" s="227">
        <v>20715</v>
      </c>
      <c r="BK128" s="221">
        <v>20210</v>
      </c>
      <c r="BL128" s="128">
        <v>19387</v>
      </c>
      <c r="BM128" s="128">
        <v>19007</v>
      </c>
    </row>
    <row r="129" spans="1:65" x14ac:dyDescent="0.3">
      <c r="A129" s="111" t="s">
        <v>53</v>
      </c>
      <c r="B129" s="111" t="s">
        <v>414</v>
      </c>
      <c r="C129" s="112" t="s">
        <v>53</v>
      </c>
      <c r="D129" s="113" t="s">
        <v>279</v>
      </c>
      <c r="E129" s="113" t="s">
        <v>281</v>
      </c>
      <c r="F129" s="111"/>
      <c r="G129" s="46">
        <f t="shared" si="22"/>
        <v>12723.644914297611</v>
      </c>
      <c r="H129" s="111"/>
      <c r="I129" s="114">
        <v>4491</v>
      </c>
      <c r="J129" s="47">
        <v>6651</v>
      </c>
      <c r="K129" s="47">
        <v>7791</v>
      </c>
      <c r="L129" s="47">
        <v>15294</v>
      </c>
      <c r="M129" s="47">
        <v>11981</v>
      </c>
      <c r="N129" s="114">
        <v>24227</v>
      </c>
      <c r="O129" s="47">
        <v>21874</v>
      </c>
      <c r="P129" s="47">
        <v>25823</v>
      </c>
      <c r="Q129" s="115">
        <v>28333</v>
      </c>
      <c r="R129" s="47">
        <v>21701</v>
      </c>
      <c r="S129" s="47"/>
      <c r="T129" s="114">
        <v>5597</v>
      </c>
      <c r="U129" s="47">
        <v>15372</v>
      </c>
      <c r="V129" s="47">
        <v>19616</v>
      </c>
      <c r="W129" s="47">
        <v>44129</v>
      </c>
      <c r="X129" s="114">
        <v>0</v>
      </c>
      <c r="Y129" s="47">
        <v>2425</v>
      </c>
      <c r="Z129" s="47">
        <v>25</v>
      </c>
      <c r="AA129" s="47">
        <v>105</v>
      </c>
      <c r="AB129" s="47"/>
      <c r="AC129" s="16">
        <f t="shared" si="19"/>
        <v>4491</v>
      </c>
      <c r="AD129" s="16">
        <f t="shared" si="20"/>
        <v>24786.7</v>
      </c>
      <c r="AE129" s="16">
        <f>SUM(AC129*'Factors &amp; Percentages'!$E$27+AD129*'Factors &amp; Percentages'!$E$28)</f>
        <v>2072.7710711550062</v>
      </c>
      <c r="AF129" s="16"/>
      <c r="AG129" s="101">
        <v>0.06</v>
      </c>
      <c r="AH129" s="18">
        <f>AG129*'Factors &amp; Percentages'!$E$31</f>
        <v>785.99076532532956</v>
      </c>
      <c r="AI129" s="18"/>
      <c r="AJ129" s="18">
        <v>3286</v>
      </c>
      <c r="AK129" s="18">
        <f>AJ129*'Factors &amp; Percentages'!$E$34</f>
        <v>6875.5280159717749</v>
      </c>
      <c r="AL129" s="18"/>
      <c r="AM129" s="137">
        <v>16</v>
      </c>
      <c r="AN129" s="30">
        <v>16</v>
      </c>
      <c r="AO129" s="30">
        <v>32</v>
      </c>
      <c r="AP129" s="116">
        <v>32</v>
      </c>
      <c r="AQ129" s="115">
        <v>1231</v>
      </c>
      <c r="AR129" s="115">
        <f t="shared" si="14"/>
        <v>1231</v>
      </c>
      <c r="AS129" s="18">
        <f>AN129*'Factors &amp; Percentages'!$E$37+AP129*'Factors &amp; Percentages'!$E$38+AR129*'Factors &amp; Percentages'!$E$39</f>
        <v>2989.3550618454997</v>
      </c>
      <c r="AT129" s="18"/>
      <c r="AU129" s="18">
        <f t="shared" si="15"/>
        <v>12723.644914297611</v>
      </c>
      <c r="AV129" s="69">
        <f t="shared" si="21"/>
        <v>12723.644914297611</v>
      </c>
      <c r="AW129" s="46">
        <f>IF($BG129&gt;$AV129,$BG129*(1+'Factors &amp; Percentages'!$B$24),
IF($AU129&gt;$AV129,$AV129,
IF($AU129&gt;$BG129,$AU129,
$BG129*(1+'Factors &amp; Percentages'!$B$24))))</f>
        <v>12723.644914297611</v>
      </c>
      <c r="AX129" s="46">
        <f t="shared" si="16"/>
        <v>12723.644914297611</v>
      </c>
      <c r="AY129" s="69"/>
      <c r="AZ129" s="27"/>
      <c r="BA129" s="21">
        <v>11283.644234031681</v>
      </c>
      <c r="BB129" s="46">
        <v>10671.359999999999</v>
      </c>
      <c r="BC129" s="119">
        <v>9941</v>
      </c>
      <c r="BD129" s="120">
        <v>8815</v>
      </c>
      <c r="BE129" s="120">
        <v>12254.95</v>
      </c>
      <c r="BF129" s="69"/>
      <c r="BG129" s="73">
        <v>750</v>
      </c>
      <c r="BH129" s="73">
        <v>1500</v>
      </c>
      <c r="BI129" s="117">
        <v>2500</v>
      </c>
      <c r="BJ129" s="118">
        <v>3000</v>
      </c>
      <c r="BK129" s="106">
        <v>8600</v>
      </c>
      <c r="BL129" s="106">
        <v>8600</v>
      </c>
      <c r="BM129" s="106">
        <v>8600</v>
      </c>
    </row>
    <row r="130" spans="1:65" x14ac:dyDescent="0.3">
      <c r="A130" s="121" t="s">
        <v>415</v>
      </c>
      <c r="B130" s="121" t="s">
        <v>416</v>
      </c>
      <c r="C130" s="174" t="s">
        <v>85</v>
      </c>
      <c r="D130" s="122" t="s">
        <v>279</v>
      </c>
      <c r="E130" s="173" t="s">
        <v>314</v>
      </c>
      <c r="F130" s="111"/>
      <c r="G130" s="185">
        <f t="shared" si="22"/>
        <v>42603.367171292673</v>
      </c>
      <c r="H130" s="186"/>
      <c r="I130" s="187">
        <v>52621</v>
      </c>
      <c r="J130" s="188">
        <v>49497</v>
      </c>
      <c r="K130" s="189">
        <v>52214</v>
      </c>
      <c r="L130" s="123">
        <v>48817</v>
      </c>
      <c r="M130" s="123">
        <v>56265</v>
      </c>
      <c r="N130" s="190">
        <v>61317</v>
      </c>
      <c r="O130" s="189">
        <v>57192</v>
      </c>
      <c r="P130" s="188">
        <v>51164</v>
      </c>
      <c r="Q130" s="208">
        <v>44886</v>
      </c>
      <c r="R130" s="123">
        <v>59024</v>
      </c>
      <c r="S130" s="188"/>
      <c r="T130" s="187">
        <v>178606</v>
      </c>
      <c r="U130" s="188">
        <v>174727</v>
      </c>
      <c r="V130" s="189">
        <v>180973</v>
      </c>
      <c r="W130" s="123">
        <v>177823</v>
      </c>
      <c r="X130" s="190">
        <v>14137</v>
      </c>
      <c r="Y130" s="189">
        <v>13664</v>
      </c>
      <c r="Z130" s="188">
        <v>6151</v>
      </c>
      <c r="AA130" s="123">
        <v>776</v>
      </c>
      <c r="AB130" s="191"/>
      <c r="AC130" s="204">
        <f t="shared" si="19"/>
        <v>54034.7</v>
      </c>
      <c r="AD130" s="205">
        <f t="shared" si="20"/>
        <v>79177.600000000006</v>
      </c>
      <c r="AE130" s="204">
        <f>SUM(AC130*'Factors &amp; Percentages'!$E$27+AD130*'Factors &amp; Percentages'!$E$28)</f>
        <v>10222.826411891432</v>
      </c>
      <c r="AF130" s="16"/>
      <c r="AG130" s="125">
        <v>0.4</v>
      </c>
      <c r="AH130" s="204">
        <f>AG130*'Factors &amp; Percentages'!$E$31</f>
        <v>5239.9384355021975</v>
      </c>
      <c r="AI130" s="18"/>
      <c r="AJ130" s="126">
        <v>10247</v>
      </c>
      <c r="AK130" s="204">
        <f>AJ130*'Factors &amp; Percentages'!$E$34</f>
        <v>21440.516001114662</v>
      </c>
      <c r="AL130" s="18"/>
      <c r="AM130" s="124">
        <v>27</v>
      </c>
      <c r="AN130" s="211">
        <v>26</v>
      </c>
      <c r="AO130" s="124">
        <v>60</v>
      </c>
      <c r="AP130" s="212">
        <v>60</v>
      </c>
      <c r="AQ130" s="135">
        <v>5207</v>
      </c>
      <c r="AR130" s="179">
        <f t="shared" ref="AR130:AR192" si="23">+AQ130</f>
        <v>5207</v>
      </c>
      <c r="AS130" s="205">
        <f>AN130*'Factors &amp; Percentages'!$E$37+AP130*'Factors &amp; Percentages'!$E$38+AR130*'Factors &amp; Percentages'!$E$39</f>
        <v>5700.0863227843811</v>
      </c>
      <c r="AT130" s="18"/>
      <c r="AU130" s="203">
        <f t="shared" si="15"/>
        <v>42603.367171292673</v>
      </c>
      <c r="AV130" s="213">
        <f t="shared" si="21"/>
        <v>42603.367171292673</v>
      </c>
      <c r="AW130" s="196">
        <f>IF($BG130&gt;$AV130,$BG130*(1+'Factors &amp; Percentages'!$B$24),
IF($AU130&gt;$AV130,$AV130,
IF($AU130&gt;$BG130,$AU130,
$BG130*(1+'Factors &amp; Percentages'!$B$24))))</f>
        <v>42603.367171292673</v>
      </c>
      <c r="AX130" s="185">
        <f t="shared" ref="AX130:AX192" si="24">MIN(AW130,+AG130*2*AY$2)</f>
        <v>42603.367171292673</v>
      </c>
      <c r="AY130" s="127"/>
      <c r="AZ130" s="27"/>
      <c r="BA130" s="223">
        <v>38564.288600141474</v>
      </c>
      <c r="BB130" s="185">
        <v>36212</v>
      </c>
      <c r="BC130" s="204">
        <v>31731</v>
      </c>
      <c r="BD130" s="218">
        <v>36572.25</v>
      </c>
      <c r="BE130" s="224">
        <v>40892.85</v>
      </c>
      <c r="BF130" s="219"/>
      <c r="BG130" s="221">
        <v>31000</v>
      </c>
      <c r="BH130" s="226">
        <v>30000</v>
      </c>
      <c r="BI130" s="220">
        <v>28000</v>
      </c>
      <c r="BJ130" s="227">
        <v>27500</v>
      </c>
      <c r="BK130" s="221">
        <v>27000</v>
      </c>
      <c r="BL130" s="128">
        <v>24000</v>
      </c>
      <c r="BM130" s="128">
        <v>43928</v>
      </c>
    </row>
    <row r="131" spans="1:65" x14ac:dyDescent="0.3">
      <c r="A131" s="111" t="s">
        <v>417</v>
      </c>
      <c r="B131" s="111" t="s">
        <v>418</v>
      </c>
      <c r="C131" s="112" t="s">
        <v>220</v>
      </c>
      <c r="D131" s="113" t="s">
        <v>302</v>
      </c>
      <c r="E131" s="113" t="s">
        <v>303</v>
      </c>
      <c r="F131" s="111"/>
      <c r="G131" s="46">
        <f t="shared" si="22"/>
        <v>72965.748695633301</v>
      </c>
      <c r="H131" s="111"/>
      <c r="I131" s="114">
        <v>117005</v>
      </c>
      <c r="J131" s="47">
        <v>153254</v>
      </c>
      <c r="K131" s="47">
        <v>134252</v>
      </c>
      <c r="L131" s="47">
        <v>128361</v>
      </c>
      <c r="M131" s="47">
        <v>124013</v>
      </c>
      <c r="N131" s="114">
        <v>76392</v>
      </c>
      <c r="O131" s="47">
        <v>92878</v>
      </c>
      <c r="P131" s="47">
        <v>121118</v>
      </c>
      <c r="Q131" s="115">
        <v>101225</v>
      </c>
      <c r="R131" s="47">
        <v>78305</v>
      </c>
      <c r="S131" s="47"/>
      <c r="T131" s="114">
        <v>44032</v>
      </c>
      <c r="U131" s="47">
        <v>105427</v>
      </c>
      <c r="V131" s="47">
        <v>103212</v>
      </c>
      <c r="W131" s="47">
        <v>117916</v>
      </c>
      <c r="X131" s="114">
        <v>5887</v>
      </c>
      <c r="Y131" s="47">
        <v>5502</v>
      </c>
      <c r="Z131" s="47">
        <v>1601</v>
      </c>
      <c r="AA131" s="47">
        <v>55757</v>
      </c>
      <c r="AB131" s="47"/>
      <c r="AC131" s="16">
        <f t="shared" ref="AC131:AC162" si="25">I131+X131*0.1</f>
        <v>117593.7</v>
      </c>
      <c r="AD131" s="16">
        <f t="shared" ref="AD131:AD162" si="26">N131+0.1*T131</f>
        <v>80795.199999999997</v>
      </c>
      <c r="AE131" s="16">
        <f>SUM(AC131*'Factors &amp; Percentages'!$E$27+AD131*'Factors &amp; Percentages'!$E$28)</f>
        <v>16099.305118483557</v>
      </c>
      <c r="AF131" s="16"/>
      <c r="AG131" s="101">
        <v>2</v>
      </c>
      <c r="AH131" s="18">
        <f>AG131*'Factors &amp; Percentages'!$E$31</f>
        <v>26199.692177510988</v>
      </c>
      <c r="AI131" s="18"/>
      <c r="AJ131" s="18">
        <v>6407</v>
      </c>
      <c r="AK131" s="18">
        <f>AJ131*'Factors &amp; Percentages'!$E$34</f>
        <v>13405.814972103213</v>
      </c>
      <c r="AL131" s="18"/>
      <c r="AM131" s="30">
        <v>60</v>
      </c>
      <c r="AN131" s="30">
        <v>77</v>
      </c>
      <c r="AO131" s="30">
        <v>147</v>
      </c>
      <c r="AP131" s="116">
        <v>155</v>
      </c>
      <c r="AQ131" s="115">
        <v>19887</v>
      </c>
      <c r="AR131" s="115">
        <f t="shared" si="23"/>
        <v>19887</v>
      </c>
      <c r="AS131" s="18">
        <f>AN131*'Factors &amp; Percentages'!$E$37+AP131*'Factors &amp; Percentages'!$E$38+AR131*'Factors &amp; Percentages'!$E$39</f>
        <v>17260.936427535547</v>
      </c>
      <c r="AT131" s="18"/>
      <c r="AU131" s="18">
        <f t="shared" ref="AU131:AU194" si="27">AE131+AH131+AK131+AS131</f>
        <v>72965.748695633301</v>
      </c>
      <c r="AV131" s="69">
        <f t="shared" si="21"/>
        <v>72965.748695633301</v>
      </c>
      <c r="AW131" s="46">
        <f>IF($BG131&gt;$AV131,$BG131*(1+'Factors &amp; Percentages'!$B$24),
IF($AU131&gt;$AV131,$AV131,
IF($AU131&gt;$BG131,$AU131,
$BG131*(1+'Factors &amp; Percentages'!$B$24))))</f>
        <v>72965.748695633301</v>
      </c>
      <c r="AX131" s="46">
        <f t="shared" si="24"/>
        <v>72965.748695633301</v>
      </c>
      <c r="AY131" s="69"/>
      <c r="AZ131" s="27"/>
      <c r="BA131" s="21">
        <v>68841.532431634012</v>
      </c>
      <c r="BB131" s="46">
        <v>57937</v>
      </c>
      <c r="BC131" s="119">
        <v>86015</v>
      </c>
      <c r="BD131" s="120">
        <v>71838.048608952653</v>
      </c>
      <c r="BE131" s="120">
        <v>64431.280046030064</v>
      </c>
      <c r="BF131" s="69"/>
      <c r="BG131" s="73">
        <v>25000</v>
      </c>
      <c r="BH131" s="73">
        <v>30000</v>
      </c>
      <c r="BI131" s="117">
        <v>30000</v>
      </c>
      <c r="BJ131" s="118">
        <v>27000</v>
      </c>
      <c r="BK131" s="106">
        <v>28000</v>
      </c>
      <c r="BL131" s="106">
        <v>35000</v>
      </c>
      <c r="BM131" s="106">
        <v>40000</v>
      </c>
    </row>
    <row r="132" spans="1:65" x14ac:dyDescent="0.3">
      <c r="A132" s="121" t="s">
        <v>419</v>
      </c>
      <c r="B132" s="121" t="s">
        <v>419</v>
      </c>
      <c r="C132" s="174" t="s">
        <v>117</v>
      </c>
      <c r="D132" s="122" t="s">
        <v>302</v>
      </c>
      <c r="E132" s="173" t="s">
        <v>112</v>
      </c>
      <c r="F132" s="111"/>
      <c r="G132" s="185">
        <f t="shared" si="22"/>
        <v>13839.800000000001</v>
      </c>
      <c r="H132" s="186"/>
      <c r="I132" s="187">
        <v>21292</v>
      </c>
      <c r="J132" s="188">
        <v>35579</v>
      </c>
      <c r="K132" s="189">
        <v>32195</v>
      </c>
      <c r="L132" s="123">
        <v>27654</v>
      </c>
      <c r="M132" s="123">
        <v>21059</v>
      </c>
      <c r="N132" s="190">
        <v>16346</v>
      </c>
      <c r="O132" s="189">
        <v>26872</v>
      </c>
      <c r="P132" s="188">
        <v>25080</v>
      </c>
      <c r="Q132" s="208">
        <v>18651</v>
      </c>
      <c r="R132" s="123">
        <v>13715</v>
      </c>
      <c r="S132" s="188"/>
      <c r="T132" s="187">
        <v>53144</v>
      </c>
      <c r="U132" s="188">
        <v>16305</v>
      </c>
      <c r="V132" s="189">
        <v>8292</v>
      </c>
      <c r="W132" s="123">
        <v>4250</v>
      </c>
      <c r="X132" s="190">
        <v>1055</v>
      </c>
      <c r="Y132" s="189">
        <v>9016</v>
      </c>
      <c r="Z132" s="188">
        <v>11967</v>
      </c>
      <c r="AA132" s="123">
        <v>46273</v>
      </c>
      <c r="AB132" s="191"/>
      <c r="AC132" s="204">
        <f t="shared" si="25"/>
        <v>21397.5</v>
      </c>
      <c r="AD132" s="205">
        <f t="shared" si="26"/>
        <v>21660.400000000001</v>
      </c>
      <c r="AE132" s="204">
        <f>SUM(AC132*'Factors &amp; Percentages'!$E$27+AD132*'Factors &amp; Percentages'!$E$28)</f>
        <v>3396.9578095913703</v>
      </c>
      <c r="AF132" s="16"/>
      <c r="AG132" s="125">
        <v>0.4</v>
      </c>
      <c r="AH132" s="204">
        <f>AG132*'Factors &amp; Percentages'!$E$31</f>
        <v>5239.9384355021975</v>
      </c>
      <c r="AI132" s="18"/>
      <c r="AJ132" s="126">
        <v>1104</v>
      </c>
      <c r="AK132" s="204">
        <f>AJ132*'Factors &amp; Percentages'!$E$34</f>
        <v>2309.976545840791</v>
      </c>
      <c r="AL132" s="18"/>
      <c r="AM132" s="124">
        <v>34</v>
      </c>
      <c r="AN132" s="211">
        <v>20</v>
      </c>
      <c r="AO132" s="124">
        <v>54</v>
      </c>
      <c r="AP132" s="212">
        <v>29</v>
      </c>
      <c r="AQ132" s="135">
        <v>7268</v>
      </c>
      <c r="AR132" s="179">
        <f t="shared" si="23"/>
        <v>7268</v>
      </c>
      <c r="AS132" s="205">
        <f>AN132*'Factors &amp; Percentages'!$E$37+AP132*'Factors &amp; Percentages'!$E$38+AR132*'Factors &amp; Percentages'!$E$39</f>
        <v>4648.6757645979169</v>
      </c>
      <c r="AT132" s="18"/>
      <c r="AU132" s="203">
        <f t="shared" si="27"/>
        <v>15595.548555532278</v>
      </c>
      <c r="AV132" s="213">
        <f t="shared" si="21"/>
        <v>13839.800000000001</v>
      </c>
      <c r="AW132" s="196">
        <f>IF($BG132&gt;$AV132,$BG132*(1+'Factors &amp; Percentages'!$B$24),
IF($AU132&gt;$AV132,$AV132,
IF($AU132&gt;$BG132,$AU132,
$BG132*(1+'Factors &amp; Percentages'!$B$24))))</f>
        <v>13839.800000000001</v>
      </c>
      <c r="AX132" s="185">
        <f t="shared" si="24"/>
        <v>13839.800000000001</v>
      </c>
      <c r="AY132" s="127"/>
      <c r="AZ132" s="27"/>
      <c r="BA132" s="223">
        <v>18077.468511746942</v>
      </c>
      <c r="BB132" s="185">
        <v>17706.150000000001</v>
      </c>
      <c r="BC132" s="204">
        <v>17975</v>
      </c>
      <c r="BD132" s="218">
        <v>15663.024999999998</v>
      </c>
      <c r="BE132" s="224">
        <v>17253.251737641593</v>
      </c>
      <c r="BF132" s="219"/>
      <c r="BG132" s="221">
        <v>10000</v>
      </c>
      <c r="BH132" s="226">
        <v>17400</v>
      </c>
      <c r="BI132" s="220">
        <v>16863</v>
      </c>
      <c r="BJ132" s="227">
        <v>15663</v>
      </c>
      <c r="BK132" s="221">
        <v>15281</v>
      </c>
      <c r="BL132" s="128">
        <v>13892</v>
      </c>
      <c r="BM132" s="128">
        <v>13230</v>
      </c>
    </row>
    <row r="133" spans="1:65" x14ac:dyDescent="0.3">
      <c r="A133" s="111" t="s">
        <v>420</v>
      </c>
      <c r="B133" s="111" t="s">
        <v>421</v>
      </c>
      <c r="C133" s="112" t="s">
        <v>104</v>
      </c>
      <c r="D133" s="113" t="s">
        <v>295</v>
      </c>
      <c r="E133" s="113" t="s">
        <v>295</v>
      </c>
      <c r="F133" s="111"/>
      <c r="G133" s="46">
        <f t="shared" si="22"/>
        <v>70043.400000000009</v>
      </c>
      <c r="H133" s="111"/>
      <c r="I133" s="114">
        <v>122043</v>
      </c>
      <c r="J133" s="47">
        <v>125250</v>
      </c>
      <c r="K133" s="47">
        <v>109455</v>
      </c>
      <c r="L133" s="47">
        <v>90222</v>
      </c>
      <c r="M133" s="47">
        <v>94440</v>
      </c>
      <c r="N133" s="114">
        <v>129940</v>
      </c>
      <c r="O133" s="47">
        <v>117089</v>
      </c>
      <c r="P133" s="47">
        <v>89209</v>
      </c>
      <c r="Q133" s="115">
        <v>104285</v>
      </c>
      <c r="R133" s="47">
        <v>130828</v>
      </c>
      <c r="S133" s="47"/>
      <c r="T133" s="114">
        <v>7635</v>
      </c>
      <c r="U133" s="47">
        <v>20698</v>
      </c>
      <c r="V133" s="47">
        <v>22021</v>
      </c>
      <c r="W133" s="47">
        <v>14257</v>
      </c>
      <c r="X133" s="114">
        <v>26302</v>
      </c>
      <c r="Y133" s="47">
        <v>26530</v>
      </c>
      <c r="Z133" s="47">
        <v>20494</v>
      </c>
      <c r="AA133" s="47">
        <v>9436</v>
      </c>
      <c r="AB133" s="47"/>
      <c r="AC133" s="16">
        <f t="shared" si="25"/>
        <v>124673.2</v>
      </c>
      <c r="AD133" s="16">
        <f t="shared" si="26"/>
        <v>130703.5</v>
      </c>
      <c r="AE133" s="16">
        <f>SUM(AC133*'Factors &amp; Percentages'!$E$27+AD133*'Factors &amp; Percentages'!$E$28)</f>
        <v>20094.699928700284</v>
      </c>
      <c r="AF133" s="16"/>
      <c r="AG133" s="101">
        <v>0.4</v>
      </c>
      <c r="AH133" s="18">
        <f>AG133*'Factors &amp; Percentages'!$E$31</f>
        <v>5239.9384355021975</v>
      </c>
      <c r="AI133" s="18"/>
      <c r="AJ133" s="18">
        <v>12214</v>
      </c>
      <c r="AK133" s="18">
        <f>AJ133*'Factors &amp; Percentages'!$E$34</f>
        <v>25556.207908423388</v>
      </c>
      <c r="AL133" s="18"/>
      <c r="AM133" s="30">
        <v>80</v>
      </c>
      <c r="AN133" s="30">
        <v>80</v>
      </c>
      <c r="AO133" s="30">
        <v>112</v>
      </c>
      <c r="AP133" s="116">
        <v>115</v>
      </c>
      <c r="AQ133" s="115">
        <v>3555</v>
      </c>
      <c r="AR133" s="115">
        <f t="shared" si="23"/>
        <v>3555</v>
      </c>
      <c r="AS133" s="18">
        <f>AN133*'Factors &amp; Percentages'!$E$37+AP133*'Factors &amp; Percentages'!$E$38+AR133*'Factors &amp; Percentages'!$E$39</f>
        <v>13360.664310389446</v>
      </c>
      <c r="AT133" s="18"/>
      <c r="AU133" s="18">
        <f t="shared" si="27"/>
        <v>64251.510583015319</v>
      </c>
      <c r="AV133" s="69">
        <f t="shared" si="21"/>
        <v>64251.510583015319</v>
      </c>
      <c r="AW133" s="46">
        <f>IF($BG133&gt;$AV133,$BG133*(1+'Factors &amp; Percentages'!$B$24),
IF($AU133&gt;$AV133,$AV133,
IF($AU133&gt;$BG133,$AU133,
$BG133*(1+'Factors &amp; Percentages'!$B$24))))</f>
        <v>70043.400000000009</v>
      </c>
      <c r="AX133" s="46">
        <f t="shared" si="24"/>
        <v>70043.400000000009</v>
      </c>
      <c r="AY133" s="69"/>
      <c r="AZ133" s="27"/>
      <c r="BA133" s="21">
        <v>66701.25</v>
      </c>
      <c r="BB133" s="46">
        <v>63525</v>
      </c>
      <c r="BC133" s="119">
        <v>72647</v>
      </c>
      <c r="BD133" s="120">
        <v>69187.5</v>
      </c>
      <c r="BE133" s="120">
        <v>67650</v>
      </c>
      <c r="BF133" s="69"/>
      <c r="BG133" s="73">
        <v>66708</v>
      </c>
      <c r="BH133" s="73">
        <v>63525</v>
      </c>
      <c r="BI133" s="117">
        <v>60500</v>
      </c>
      <c r="BJ133" s="118">
        <v>69188</v>
      </c>
      <c r="BK133" s="106">
        <v>67650</v>
      </c>
      <c r="BL133" s="106">
        <v>66000</v>
      </c>
      <c r="BM133" s="106">
        <v>64000</v>
      </c>
    </row>
    <row r="134" spans="1:65" x14ac:dyDescent="0.3">
      <c r="A134" s="121" t="s">
        <v>422</v>
      </c>
      <c r="B134" s="121" t="s">
        <v>118</v>
      </c>
      <c r="C134" s="174" t="s">
        <v>118</v>
      </c>
      <c r="D134" s="122" t="s">
        <v>302</v>
      </c>
      <c r="E134" s="173" t="s">
        <v>112</v>
      </c>
      <c r="F134" s="111"/>
      <c r="G134" s="185">
        <f t="shared" si="22"/>
        <v>27067.974172252172</v>
      </c>
      <c r="H134" s="186"/>
      <c r="I134" s="187">
        <v>28990</v>
      </c>
      <c r="J134" s="188">
        <v>26620</v>
      </c>
      <c r="K134" s="189">
        <v>21012</v>
      </c>
      <c r="L134" s="123">
        <v>22802</v>
      </c>
      <c r="M134" s="123">
        <v>18166</v>
      </c>
      <c r="N134" s="190">
        <v>36051</v>
      </c>
      <c r="O134" s="189">
        <v>32161</v>
      </c>
      <c r="P134" s="188">
        <v>5486</v>
      </c>
      <c r="Q134" s="208">
        <v>33306</v>
      </c>
      <c r="R134" s="123">
        <v>34216</v>
      </c>
      <c r="S134" s="188"/>
      <c r="T134" s="187">
        <v>336</v>
      </c>
      <c r="U134" s="188">
        <v>0</v>
      </c>
      <c r="V134" s="189">
        <v>25461</v>
      </c>
      <c r="W134" s="123">
        <v>0</v>
      </c>
      <c r="X134" s="190">
        <v>1742</v>
      </c>
      <c r="Y134" s="189">
        <v>0</v>
      </c>
      <c r="Z134" s="188">
        <v>5060</v>
      </c>
      <c r="AA134" s="123">
        <v>0</v>
      </c>
      <c r="AB134" s="191"/>
      <c r="AC134" s="204">
        <f t="shared" si="25"/>
        <v>29164.2</v>
      </c>
      <c r="AD134" s="205">
        <f t="shared" si="26"/>
        <v>36084.6</v>
      </c>
      <c r="AE134" s="204">
        <f>SUM(AC134*'Factors &amp; Percentages'!$E$27+AD134*'Factors &amp; Percentages'!$E$28)</f>
        <v>5070.8140688872954</v>
      </c>
      <c r="AF134" s="16"/>
      <c r="AG134" s="125">
        <v>0.75</v>
      </c>
      <c r="AH134" s="204">
        <f>AG134*'Factors &amp; Percentages'!$E$31</f>
        <v>9824.8845665666195</v>
      </c>
      <c r="AI134" s="18"/>
      <c r="AJ134" s="126">
        <v>2970</v>
      </c>
      <c r="AK134" s="204">
        <f>AJ134*'Factors &amp; Percentages'!$E$34</f>
        <v>6214.339077126041</v>
      </c>
      <c r="AL134" s="18"/>
      <c r="AM134" s="124">
        <v>9</v>
      </c>
      <c r="AN134" s="211">
        <v>27</v>
      </c>
      <c r="AO134" s="124">
        <v>31</v>
      </c>
      <c r="AP134" s="212">
        <v>40</v>
      </c>
      <c r="AQ134" s="135">
        <v>8158</v>
      </c>
      <c r="AR134" s="179">
        <f t="shared" si="23"/>
        <v>8158</v>
      </c>
      <c r="AS134" s="205">
        <f>AN134*'Factors &amp; Percentages'!$E$37+AP134*'Factors &amp; Percentages'!$E$38+AR134*'Factors &amp; Percentages'!$E$39</f>
        <v>5957.9364596722135</v>
      </c>
      <c r="AT134" s="18"/>
      <c r="AU134" s="203">
        <f t="shared" si="27"/>
        <v>27067.974172252172</v>
      </c>
      <c r="AV134" s="213">
        <f t="shared" si="21"/>
        <v>27067.974172252172</v>
      </c>
      <c r="AW134" s="196">
        <f>IF($BG134&gt;$AV134,$BG134*(1+'Factors &amp; Percentages'!$B$24),
IF($AU134&gt;$AV134,$AV134,
IF($AU134&gt;$BG134,$AU134,
$BG134*(1+'Factors &amp; Percentages'!$B$24))))</f>
        <v>27067.974172252172</v>
      </c>
      <c r="AX134" s="185">
        <f t="shared" si="24"/>
        <v>27067.974172252172</v>
      </c>
      <c r="AY134" s="127"/>
      <c r="AZ134" s="27"/>
      <c r="BA134" s="223">
        <v>21954.386221842484</v>
      </c>
      <c r="BB134" s="185">
        <v>13657.800000000001</v>
      </c>
      <c r="BC134" s="204">
        <v>14821</v>
      </c>
      <c r="BD134" s="218">
        <v>11807.9</v>
      </c>
      <c r="BE134" s="224">
        <v>30502.753419516681</v>
      </c>
      <c r="BF134" s="219"/>
      <c r="BG134" s="221">
        <v>6000</v>
      </c>
      <c r="BH134" s="226">
        <v>3000</v>
      </c>
      <c r="BI134" s="220">
        <v>7000</v>
      </c>
      <c r="BJ134" s="227">
        <v>10000</v>
      </c>
      <c r="BK134" s="221">
        <v>10000</v>
      </c>
      <c r="BL134" s="128">
        <v>23256</v>
      </c>
      <c r="BM134" s="128">
        <v>22645</v>
      </c>
    </row>
    <row r="135" spans="1:65" x14ac:dyDescent="0.3">
      <c r="A135" s="111" t="s">
        <v>423</v>
      </c>
      <c r="B135" s="111" t="s">
        <v>424</v>
      </c>
      <c r="C135" s="138" t="s">
        <v>228</v>
      </c>
      <c r="D135" s="113" t="s">
        <v>302</v>
      </c>
      <c r="E135" s="113" t="s">
        <v>299</v>
      </c>
      <c r="F135" s="111"/>
      <c r="G135" s="46">
        <f t="shared" si="22"/>
        <v>17067.7</v>
      </c>
      <c r="H135" s="111"/>
      <c r="I135" s="114">
        <v>26258</v>
      </c>
      <c r="J135" s="47">
        <v>36688</v>
      </c>
      <c r="K135" s="47">
        <v>25018</v>
      </c>
      <c r="L135" s="47">
        <v>29484</v>
      </c>
      <c r="M135" s="47">
        <v>25687</v>
      </c>
      <c r="N135" s="114">
        <v>4233</v>
      </c>
      <c r="O135" s="47">
        <v>8452</v>
      </c>
      <c r="P135" s="47">
        <v>11983</v>
      </c>
      <c r="Q135" s="115">
        <v>12675</v>
      </c>
      <c r="R135" s="47">
        <v>669</v>
      </c>
      <c r="S135" s="47"/>
      <c r="T135" s="114">
        <v>14482</v>
      </c>
      <c r="U135" s="47">
        <v>20731</v>
      </c>
      <c r="V135" s="47">
        <v>7336</v>
      </c>
      <c r="W135" s="47">
        <v>15060</v>
      </c>
      <c r="X135" s="114">
        <v>0</v>
      </c>
      <c r="Y135" s="47">
        <v>0</v>
      </c>
      <c r="Z135" s="47">
        <v>0</v>
      </c>
      <c r="AA135" s="47">
        <v>1586</v>
      </c>
      <c r="AB135" s="47"/>
      <c r="AC135" s="16">
        <f t="shared" si="25"/>
        <v>26258</v>
      </c>
      <c r="AD135" s="16">
        <f t="shared" si="26"/>
        <v>5681.2</v>
      </c>
      <c r="AE135" s="16">
        <f>SUM(AC135*'Factors &amp; Percentages'!$E$27+AD135*'Factors &amp; Percentages'!$E$28)</f>
        <v>2764.5169589604393</v>
      </c>
      <c r="AF135" s="16"/>
      <c r="AG135" s="101">
        <v>0.3</v>
      </c>
      <c r="AH135" s="18">
        <f>AG135*'Factors &amp; Percentages'!$E$31</f>
        <v>3929.9538266266482</v>
      </c>
      <c r="AI135" s="18"/>
      <c r="AJ135" s="18">
        <v>3128</v>
      </c>
      <c r="AK135" s="18">
        <f>AJ135*'Factors &amp; Percentages'!$E$34</f>
        <v>6544.9335465489075</v>
      </c>
      <c r="AL135" s="18"/>
      <c r="AM135" s="30">
        <v>24</v>
      </c>
      <c r="AN135" s="30">
        <v>22</v>
      </c>
      <c r="AO135" s="30">
        <v>61</v>
      </c>
      <c r="AP135" s="116">
        <v>0</v>
      </c>
      <c r="AQ135" s="115">
        <v>5753</v>
      </c>
      <c r="AR135" s="115">
        <f t="shared" si="23"/>
        <v>5753</v>
      </c>
      <c r="AS135" s="18">
        <f>AN135*'Factors &amp; Percentages'!$E$37+AP135*'Factors &amp; Percentages'!$E$38+AR135*'Factors &amp; Percentages'!$E$39</f>
        <v>3907.7543141255801</v>
      </c>
      <c r="AT135" s="18"/>
      <c r="AU135" s="18">
        <f t="shared" si="27"/>
        <v>17147.158646261574</v>
      </c>
      <c r="AV135" s="69">
        <f t="shared" si="21"/>
        <v>17067.7</v>
      </c>
      <c r="AW135" s="46">
        <f>IF($BG135&gt;$AV135,$BG135*(1+'Factors &amp; Percentages'!$B$24),
IF($AU135&gt;$AV135,$AV135,
IF($AU135&gt;$BG135,$AU135,
$BG135*(1+'Factors &amp; Percentages'!$B$24))))</f>
        <v>17067.7</v>
      </c>
      <c r="AX135" s="46">
        <f t="shared" si="24"/>
        <v>17067.7</v>
      </c>
      <c r="AY135" s="69"/>
      <c r="AZ135" s="27"/>
      <c r="BA135" s="21">
        <v>18398.692876084075</v>
      </c>
      <c r="BB135" s="46">
        <v>16261.7</v>
      </c>
      <c r="BC135" s="119">
        <v>21525</v>
      </c>
      <c r="BD135" s="120">
        <v>20500</v>
      </c>
      <c r="BE135" s="89">
        <v>22386</v>
      </c>
      <c r="BF135" s="69"/>
      <c r="BG135" s="73">
        <v>15000</v>
      </c>
      <c r="BH135" s="73">
        <v>15041</v>
      </c>
      <c r="BI135" s="117">
        <v>15106</v>
      </c>
      <c r="BJ135" s="118">
        <v>20848.18</v>
      </c>
      <c r="BK135" s="106">
        <v>20000</v>
      </c>
      <c r="BL135" s="106">
        <v>20000</v>
      </c>
      <c r="BM135" s="106">
        <v>29000</v>
      </c>
    </row>
    <row r="136" spans="1:65" x14ac:dyDescent="0.3">
      <c r="A136" s="121" t="s">
        <v>425</v>
      </c>
      <c r="B136" s="121" t="s">
        <v>426</v>
      </c>
      <c r="C136" s="174" t="s">
        <v>254</v>
      </c>
      <c r="D136" s="122" t="s">
        <v>295</v>
      </c>
      <c r="E136" s="173" t="s">
        <v>295</v>
      </c>
      <c r="F136" s="111"/>
      <c r="G136" s="185">
        <f t="shared" si="22"/>
        <v>25388.5</v>
      </c>
      <c r="H136" s="186"/>
      <c r="I136" s="187">
        <v>48290</v>
      </c>
      <c r="J136" s="188">
        <v>51159</v>
      </c>
      <c r="K136" s="189">
        <v>49156</v>
      </c>
      <c r="L136" s="123">
        <v>43221</v>
      </c>
      <c r="M136" s="123">
        <v>24973</v>
      </c>
      <c r="N136" s="190">
        <v>26704</v>
      </c>
      <c r="O136" s="189">
        <v>27385</v>
      </c>
      <c r="P136" s="188">
        <v>25897</v>
      </c>
      <c r="Q136" s="208">
        <v>30213</v>
      </c>
      <c r="R136" s="123">
        <v>19186</v>
      </c>
      <c r="S136" s="188"/>
      <c r="T136" s="187">
        <v>23709</v>
      </c>
      <c r="U136" s="188">
        <v>22794</v>
      </c>
      <c r="V136" s="189">
        <v>20023</v>
      </c>
      <c r="W136" s="123">
        <v>20263</v>
      </c>
      <c r="X136" s="190">
        <v>6855</v>
      </c>
      <c r="Y136" s="189">
        <v>10569</v>
      </c>
      <c r="Z136" s="188">
        <v>14338</v>
      </c>
      <c r="AA136" s="123">
        <v>24124</v>
      </c>
      <c r="AB136" s="191"/>
      <c r="AC136" s="204">
        <f t="shared" si="25"/>
        <v>48975.5</v>
      </c>
      <c r="AD136" s="205">
        <f t="shared" si="26"/>
        <v>29074.9</v>
      </c>
      <c r="AE136" s="204">
        <f>SUM(AC136*'Factors &amp; Percentages'!$E$27+AD136*'Factors &amp; Percentages'!$E$28)</f>
        <v>6397.7080601313655</v>
      </c>
      <c r="AF136" s="16"/>
      <c r="AG136" s="125">
        <v>0.5</v>
      </c>
      <c r="AH136" s="204">
        <f>AG136*'Factors &amp; Percentages'!$E$31</f>
        <v>6549.9230443777469</v>
      </c>
      <c r="AI136" s="18"/>
      <c r="AJ136" s="126">
        <v>10486</v>
      </c>
      <c r="AK136" s="204">
        <f>AJ136*'Factors &amp; Percentages'!$E$34</f>
        <v>21940.592445368238</v>
      </c>
      <c r="AL136" s="18"/>
      <c r="AM136" s="124">
        <v>45</v>
      </c>
      <c r="AN136" s="211">
        <v>50</v>
      </c>
      <c r="AO136" s="124">
        <v>64</v>
      </c>
      <c r="AP136" s="212">
        <v>64</v>
      </c>
      <c r="AQ136" s="135">
        <v>8601</v>
      </c>
      <c r="AR136" s="179">
        <f t="shared" si="23"/>
        <v>8601</v>
      </c>
      <c r="AS136" s="205">
        <f>AN136*'Factors &amp; Percentages'!$E$37+AP136*'Factors &amp; Percentages'!$E$38+AR136*'Factors &amp; Percentages'!$E$39</f>
        <v>9468.3791029471395</v>
      </c>
      <c r="AT136" s="18"/>
      <c r="AU136" s="203">
        <f t="shared" si="27"/>
        <v>44356.602652824491</v>
      </c>
      <c r="AV136" s="213">
        <f t="shared" si="21"/>
        <v>31388.5</v>
      </c>
      <c r="AW136" s="196">
        <f>IF($BG136&gt;$AV136,$BG136*(1+'Factors &amp; Percentages'!$B$24),
IF($AU136&gt;$AV136,$AV136,
IF($AU136&gt;$BG136,$AU136,
$BG136*(1+'Factors &amp; Percentages'!$B$24))))-6000</f>
        <v>25388.5</v>
      </c>
      <c r="AX136" s="185">
        <f t="shared" si="24"/>
        <v>25388.5</v>
      </c>
      <c r="AY136" s="127"/>
      <c r="AZ136" s="27"/>
      <c r="BA136" s="223">
        <v>24253.35</v>
      </c>
      <c r="BB136" s="185">
        <v>23981</v>
      </c>
      <c r="BC136" s="204">
        <v>22841</v>
      </c>
      <c r="BD136" s="218">
        <v>22734.499999999996</v>
      </c>
      <c r="BE136" s="225">
        <v>25029.100000000002</v>
      </c>
      <c r="BF136" s="219"/>
      <c r="BG136" s="221">
        <v>24253</v>
      </c>
      <c r="BH136" s="226">
        <v>24043</v>
      </c>
      <c r="BI136" s="220">
        <v>22841</v>
      </c>
      <c r="BJ136" s="227">
        <v>22736</v>
      </c>
      <c r="BK136" s="221">
        <v>22180</v>
      </c>
      <c r="BL136" s="128">
        <v>21536</v>
      </c>
      <c r="BM136" s="128">
        <v>21112</v>
      </c>
    </row>
    <row r="137" spans="1:65" x14ac:dyDescent="0.3">
      <c r="A137" s="111" t="s">
        <v>221</v>
      </c>
      <c r="B137" s="111" t="s">
        <v>221</v>
      </c>
      <c r="C137" s="112" t="s">
        <v>221</v>
      </c>
      <c r="D137" s="113" t="s">
        <v>302</v>
      </c>
      <c r="E137" s="113" t="s">
        <v>303</v>
      </c>
      <c r="F137" s="111"/>
      <c r="G137" s="46">
        <f t="shared" si="22"/>
        <v>48569.401912383393</v>
      </c>
      <c r="H137" s="111"/>
      <c r="I137" s="114">
        <v>47958</v>
      </c>
      <c r="J137" s="47">
        <v>37488</v>
      </c>
      <c r="K137" s="47">
        <v>36361</v>
      </c>
      <c r="L137" s="47">
        <v>40827</v>
      </c>
      <c r="M137" s="47">
        <v>39474</v>
      </c>
      <c r="N137" s="114">
        <v>49606</v>
      </c>
      <c r="O137" s="47">
        <v>59662</v>
      </c>
      <c r="P137" s="47">
        <v>88426</v>
      </c>
      <c r="Q137" s="115">
        <v>111212</v>
      </c>
      <c r="R137" s="47">
        <v>66468</v>
      </c>
      <c r="S137" s="47"/>
      <c r="T137" s="114">
        <v>1170</v>
      </c>
      <c r="U137" s="47">
        <v>7517</v>
      </c>
      <c r="V137" s="47">
        <v>34</v>
      </c>
      <c r="W137" s="47">
        <v>31766</v>
      </c>
      <c r="X137" s="114">
        <v>6596</v>
      </c>
      <c r="Y137" s="47">
        <v>3267</v>
      </c>
      <c r="Z137" s="47">
        <v>13998</v>
      </c>
      <c r="AA137" s="47">
        <v>7920</v>
      </c>
      <c r="AB137" s="47"/>
      <c r="AC137" s="16">
        <f t="shared" si="25"/>
        <v>48617.599999999999</v>
      </c>
      <c r="AD137" s="16">
        <f t="shared" si="26"/>
        <v>49723</v>
      </c>
      <c r="AE137" s="16">
        <f>SUM(AC137*'Factors &amp; Percentages'!$E$27+AD137*'Factors &amp; Percentages'!$E$28)</f>
        <v>7752.4144953793802</v>
      </c>
      <c r="AF137" s="16"/>
      <c r="AG137" s="101">
        <v>2</v>
      </c>
      <c r="AH137" s="18">
        <f>AG137*'Factors &amp; Percentages'!$E$31</f>
        <v>26199.692177510988</v>
      </c>
      <c r="AI137" s="18"/>
      <c r="AJ137" s="18">
        <v>373</v>
      </c>
      <c r="AK137" s="18">
        <f>AJ137*'Factors &amp; Percentages'!$E$34</f>
        <v>780.45403224512233</v>
      </c>
      <c r="AL137" s="18"/>
      <c r="AM137" s="30">
        <v>39</v>
      </c>
      <c r="AN137" s="30">
        <v>43</v>
      </c>
      <c r="AO137" s="30">
        <v>78</v>
      </c>
      <c r="AP137" s="116">
        <v>79</v>
      </c>
      <c r="AQ137" s="115">
        <v>32530</v>
      </c>
      <c r="AR137" s="115">
        <f t="shared" si="23"/>
        <v>32530</v>
      </c>
      <c r="AS137" s="18">
        <f>AN137*'Factors &amp; Percentages'!$E$37+AP137*'Factors &amp; Percentages'!$E$38+AR137*'Factors &amp; Percentages'!$E$39</f>
        <v>13836.841207247902</v>
      </c>
      <c r="AT137" s="18"/>
      <c r="AU137" s="18">
        <f t="shared" si="27"/>
        <v>48569.401912383393</v>
      </c>
      <c r="AV137" s="69">
        <f t="shared" si="21"/>
        <v>48569.401912383393</v>
      </c>
      <c r="AW137" s="46">
        <f>IF($BG137&gt;$AV137,$BG137*(1+'Factors &amp; Percentages'!$B$24),
IF($AU137&gt;$AV137,$AV137,
IF($AU137&gt;$BG137,$AU137,
$BG137*(1+'Factors &amp; Percentages'!$B$24))))</f>
        <v>48569.401912383393</v>
      </c>
      <c r="AX137" s="46">
        <f t="shared" si="24"/>
        <v>48569.401912383393</v>
      </c>
      <c r="AY137" s="69"/>
      <c r="AZ137" s="27"/>
      <c r="BA137" s="21">
        <v>43408.275912864221</v>
      </c>
      <c r="BB137" s="46">
        <v>39754</v>
      </c>
      <c r="BC137" s="119">
        <v>26538</v>
      </c>
      <c r="BD137" s="120">
        <v>25658.100000000002</v>
      </c>
      <c r="BE137" s="120">
        <v>29224.55</v>
      </c>
      <c r="BF137" s="69"/>
      <c r="BG137" s="73">
        <v>21500</v>
      </c>
      <c r="BH137" s="73">
        <v>21000</v>
      </c>
      <c r="BI137" s="117">
        <v>22500</v>
      </c>
      <c r="BJ137" s="118">
        <v>18510</v>
      </c>
      <c r="BK137" s="106">
        <v>22500</v>
      </c>
      <c r="BL137" s="106">
        <v>18300</v>
      </c>
      <c r="BM137" s="106">
        <v>17380</v>
      </c>
    </row>
    <row r="138" spans="1:65" x14ac:dyDescent="0.3">
      <c r="A138" s="121" t="s">
        <v>427</v>
      </c>
      <c r="B138" s="121" t="s">
        <v>428</v>
      </c>
      <c r="C138" s="174" t="s">
        <v>202</v>
      </c>
      <c r="D138" s="122" t="s">
        <v>279</v>
      </c>
      <c r="E138" s="173" t="s">
        <v>280</v>
      </c>
      <c r="F138" s="111"/>
      <c r="G138" s="185">
        <f t="shared" si="22"/>
        <v>42745.516197865698</v>
      </c>
      <c r="H138" s="186"/>
      <c r="I138" s="187">
        <v>79307</v>
      </c>
      <c r="J138" s="188">
        <v>73635</v>
      </c>
      <c r="K138" s="189">
        <v>71317</v>
      </c>
      <c r="L138" s="123">
        <v>103412</v>
      </c>
      <c r="M138" s="123">
        <v>87568</v>
      </c>
      <c r="N138" s="190">
        <v>36775</v>
      </c>
      <c r="O138" s="189">
        <v>75672</v>
      </c>
      <c r="P138" s="188">
        <v>47335</v>
      </c>
      <c r="Q138" s="208">
        <v>88661</v>
      </c>
      <c r="R138" s="123">
        <v>7172</v>
      </c>
      <c r="S138" s="188"/>
      <c r="T138" s="187">
        <v>29529</v>
      </c>
      <c r="U138" s="188">
        <v>14799</v>
      </c>
      <c r="V138" s="189">
        <v>22319</v>
      </c>
      <c r="W138" s="123">
        <v>18697</v>
      </c>
      <c r="X138" s="190">
        <v>15641</v>
      </c>
      <c r="Y138" s="189">
        <v>6628</v>
      </c>
      <c r="Z138" s="188">
        <v>19200</v>
      </c>
      <c r="AA138" s="123">
        <v>939</v>
      </c>
      <c r="AB138" s="191"/>
      <c r="AC138" s="204">
        <f t="shared" si="25"/>
        <v>80871.100000000006</v>
      </c>
      <c r="AD138" s="205">
        <f t="shared" si="26"/>
        <v>39727.9</v>
      </c>
      <c r="AE138" s="204">
        <f>SUM(AC138*'Factors &amp; Percentages'!$E$27+AD138*'Factors &amp; Percentages'!$E$28)</f>
        <v>10007.838227748614</v>
      </c>
      <c r="AF138" s="16"/>
      <c r="AG138" s="125">
        <v>0.5</v>
      </c>
      <c r="AH138" s="204">
        <f>AG138*'Factors &amp; Percentages'!$E$31</f>
        <v>6549.9230443777469</v>
      </c>
      <c r="AI138" s="18"/>
      <c r="AJ138" s="126">
        <v>6213</v>
      </c>
      <c r="AK138" s="204">
        <f>AJ138*'Factors &amp; Percentages'!$E$34</f>
        <v>12999.895180533364</v>
      </c>
      <c r="AL138" s="18"/>
      <c r="AM138" s="124">
        <v>58</v>
      </c>
      <c r="AN138" s="211">
        <v>58</v>
      </c>
      <c r="AO138" s="124">
        <v>158</v>
      </c>
      <c r="AP138" s="212">
        <v>159</v>
      </c>
      <c r="AQ138" s="135">
        <v>11040</v>
      </c>
      <c r="AR138" s="179">
        <f t="shared" si="23"/>
        <v>11040</v>
      </c>
      <c r="AS138" s="205">
        <f>AN138*'Factors &amp; Percentages'!$E$37+AP138*'Factors &amp; Percentages'!$E$38+AR138*'Factors &amp; Percentages'!$E$39</f>
        <v>13187.859745205973</v>
      </c>
      <c r="AT138" s="18"/>
      <c r="AU138" s="203">
        <f t="shared" si="27"/>
        <v>42745.516197865698</v>
      </c>
      <c r="AV138" s="213">
        <f t="shared" si="21"/>
        <v>42745.516197865698</v>
      </c>
      <c r="AW138" s="196">
        <f>IF($BG138&gt;$AV138,$BG138*(1+'Factors &amp; Percentages'!$B$24),
IF($AU138&gt;$AV138,$AV138,
IF($AU138&gt;$BG138,$AU138,
$BG138*(1+'Factors &amp; Percentages'!$B$24))))</f>
        <v>42745.516197865698</v>
      </c>
      <c r="AX138" s="185">
        <f t="shared" si="24"/>
        <v>42745.516197865698</v>
      </c>
      <c r="AY138" s="127"/>
      <c r="AZ138" s="27"/>
      <c r="BA138" s="223">
        <v>40790.63699763496</v>
      </c>
      <c r="BB138" s="185">
        <v>57750</v>
      </c>
      <c r="BC138" s="204">
        <v>64128</v>
      </c>
      <c r="BD138" s="218">
        <v>48566.549999999996</v>
      </c>
      <c r="BE138" s="224">
        <v>47381.649999999994</v>
      </c>
      <c r="BF138" s="219"/>
      <c r="BG138" s="221">
        <v>35000</v>
      </c>
      <c r="BH138" s="226">
        <v>40000</v>
      </c>
      <c r="BI138" s="220">
        <v>55000</v>
      </c>
      <c r="BJ138" s="227">
        <v>48567</v>
      </c>
      <c r="BK138" s="221">
        <v>47382</v>
      </c>
      <c r="BL138" s="128">
        <v>46226</v>
      </c>
      <c r="BM138" s="128">
        <v>44880</v>
      </c>
    </row>
    <row r="139" spans="1:65" x14ac:dyDescent="0.3">
      <c r="A139" s="111" t="s">
        <v>429</v>
      </c>
      <c r="B139" s="111" t="s">
        <v>430</v>
      </c>
      <c r="C139" s="112" t="s">
        <v>203</v>
      </c>
      <c r="D139" s="113" t="s">
        <v>279</v>
      </c>
      <c r="E139" s="113" t="s">
        <v>280</v>
      </c>
      <c r="F139" s="111"/>
      <c r="G139" s="46">
        <f t="shared" si="22"/>
        <v>21297.56893364172</v>
      </c>
      <c r="H139" s="111"/>
      <c r="I139" s="114">
        <v>32472</v>
      </c>
      <c r="J139" s="47">
        <v>32265</v>
      </c>
      <c r="K139" s="47">
        <v>32173</v>
      </c>
      <c r="L139" s="47">
        <v>22278</v>
      </c>
      <c r="M139" s="47">
        <v>26494</v>
      </c>
      <c r="N139" s="114">
        <v>62001</v>
      </c>
      <c r="O139" s="47">
        <v>68962</v>
      </c>
      <c r="P139" s="47">
        <v>21030</v>
      </c>
      <c r="Q139" s="115">
        <v>21428</v>
      </c>
      <c r="R139" s="47">
        <v>4787</v>
      </c>
      <c r="S139" s="47"/>
      <c r="T139" s="114">
        <v>15967</v>
      </c>
      <c r="U139" s="47">
        <v>4696</v>
      </c>
      <c r="V139" s="47">
        <v>54109</v>
      </c>
      <c r="W139" s="47">
        <v>58531</v>
      </c>
      <c r="X139" s="114">
        <v>0</v>
      </c>
      <c r="Y139" s="47">
        <v>0</v>
      </c>
      <c r="Z139" s="47">
        <v>2305</v>
      </c>
      <c r="AA139" s="47">
        <v>4</v>
      </c>
      <c r="AB139" s="47"/>
      <c r="AC139" s="16">
        <f t="shared" si="25"/>
        <v>32472</v>
      </c>
      <c r="AD139" s="16">
        <f t="shared" si="26"/>
        <v>63597.7</v>
      </c>
      <c r="AE139" s="16">
        <f>SUM(AC139*'Factors &amp; Percentages'!$E$27+AD139*'Factors &amp; Percentages'!$E$28)</f>
        <v>7219.3785505607511</v>
      </c>
      <c r="AF139" s="16"/>
      <c r="AG139" s="101">
        <v>0.5</v>
      </c>
      <c r="AH139" s="18">
        <f>AG139*'Factors &amp; Percentages'!$E$31</f>
        <v>6549.9230443777469</v>
      </c>
      <c r="AI139" s="18"/>
      <c r="AJ139" s="18">
        <v>458</v>
      </c>
      <c r="AK139" s="18">
        <f>AJ139*'Factors &amp; Percentages'!$E$34</f>
        <v>958.30548731438614</v>
      </c>
      <c r="AL139" s="18"/>
      <c r="AM139" s="30">
        <v>30</v>
      </c>
      <c r="AN139" s="30">
        <v>28</v>
      </c>
      <c r="AO139" s="30">
        <v>47</v>
      </c>
      <c r="AP139" s="116">
        <v>47</v>
      </c>
      <c r="AQ139" s="115">
        <v>9743</v>
      </c>
      <c r="AR139" s="115">
        <f t="shared" si="23"/>
        <v>9743</v>
      </c>
      <c r="AS139" s="18">
        <f>AN139*'Factors &amp; Percentages'!$E$37+AP139*'Factors &amp; Percentages'!$E$38+AR139*'Factors &amp; Percentages'!$E$39</f>
        <v>6569.9618513888363</v>
      </c>
      <c r="AT139" s="18"/>
      <c r="AU139" s="18">
        <f t="shared" si="27"/>
        <v>21297.56893364172</v>
      </c>
      <c r="AV139" s="69">
        <f t="shared" si="21"/>
        <v>21297.56893364172</v>
      </c>
      <c r="AW139" s="46">
        <f>IF($BG139&gt;$AV139,$BG139*(1+'Factors &amp; Percentages'!$B$24),
IF($AU139&gt;$AV139,$AV139,
IF($AU139&gt;$BG139,$AU139,
$BG139*(1+'Factors &amp; Percentages'!$B$24))))</f>
        <v>21297.56893364172</v>
      </c>
      <c r="AX139" s="46">
        <f t="shared" si="24"/>
        <v>21297.56893364172</v>
      </c>
      <c r="AY139" s="69"/>
      <c r="AZ139" s="27"/>
      <c r="BA139" s="21">
        <v>19982.146403906401</v>
      </c>
      <c r="BB139" s="46">
        <v>19822.95</v>
      </c>
      <c r="BC139" s="119">
        <v>19823</v>
      </c>
      <c r="BD139" s="120">
        <v>18879.474999999999</v>
      </c>
      <c r="BE139" s="120">
        <v>18418.775118559191</v>
      </c>
      <c r="BF139" s="69"/>
      <c r="BG139" s="73">
        <v>13000</v>
      </c>
      <c r="BH139" s="73">
        <v>16000</v>
      </c>
      <c r="BI139" s="117">
        <v>18879</v>
      </c>
      <c r="BJ139" s="118">
        <v>18879</v>
      </c>
      <c r="BK139" s="106">
        <v>18419</v>
      </c>
      <c r="BL139" s="106">
        <v>12879</v>
      </c>
      <c r="BM139" s="106">
        <v>12151</v>
      </c>
    </row>
    <row r="140" spans="1:65" x14ac:dyDescent="0.3">
      <c r="A140" s="121" t="s">
        <v>431</v>
      </c>
      <c r="B140" s="121" t="s">
        <v>155</v>
      </c>
      <c r="C140" s="174" t="s">
        <v>155</v>
      </c>
      <c r="D140" s="122" t="s">
        <v>279</v>
      </c>
      <c r="E140" s="173" t="s">
        <v>145</v>
      </c>
      <c r="F140" s="111"/>
      <c r="G140" s="185">
        <f t="shared" si="22"/>
        <v>29055.419151595779</v>
      </c>
      <c r="H140" s="186"/>
      <c r="I140" s="187">
        <v>28770</v>
      </c>
      <c r="J140" s="188">
        <v>28151</v>
      </c>
      <c r="K140" s="189">
        <v>30241</v>
      </c>
      <c r="L140" s="123">
        <v>27060</v>
      </c>
      <c r="M140" s="123">
        <v>23215</v>
      </c>
      <c r="N140" s="190">
        <v>30230</v>
      </c>
      <c r="O140" s="189">
        <v>32352</v>
      </c>
      <c r="P140" s="188">
        <v>36776</v>
      </c>
      <c r="Q140" s="208">
        <v>33205</v>
      </c>
      <c r="R140" s="123">
        <v>26314</v>
      </c>
      <c r="S140" s="188"/>
      <c r="T140" s="187">
        <v>31310</v>
      </c>
      <c r="U140" s="188">
        <v>29796</v>
      </c>
      <c r="V140" s="189">
        <v>29122</v>
      </c>
      <c r="W140" s="123">
        <v>28132</v>
      </c>
      <c r="X140" s="190">
        <v>7730</v>
      </c>
      <c r="Y140" s="189">
        <v>7176</v>
      </c>
      <c r="Z140" s="188">
        <v>6790</v>
      </c>
      <c r="AA140" s="123">
        <v>5502</v>
      </c>
      <c r="AB140" s="191"/>
      <c r="AC140" s="204">
        <f t="shared" si="25"/>
        <v>29543</v>
      </c>
      <c r="AD140" s="205">
        <f t="shared" si="26"/>
        <v>33361</v>
      </c>
      <c r="AE140" s="204">
        <f>SUM(AC140*'Factors &amp; Percentages'!$E$27+AD140*'Factors &amp; Percentages'!$E$28)</f>
        <v>4922.2116767212492</v>
      </c>
      <c r="AF140" s="16"/>
      <c r="AG140" s="125">
        <v>1</v>
      </c>
      <c r="AH140" s="204">
        <f>AG140*'Factors &amp; Percentages'!$E$31</f>
        <v>13099.846088755494</v>
      </c>
      <c r="AI140" s="18"/>
      <c r="AJ140" s="126">
        <v>685</v>
      </c>
      <c r="AK140" s="204">
        <f>AJ140*'Factors &amp; Percentages'!$E$34</f>
        <v>1433.2734908523023</v>
      </c>
      <c r="AL140" s="18"/>
      <c r="AM140" s="124">
        <v>42</v>
      </c>
      <c r="AN140" s="211">
        <v>42</v>
      </c>
      <c r="AO140" s="124">
        <v>59</v>
      </c>
      <c r="AP140" s="212">
        <v>59</v>
      </c>
      <c r="AQ140" s="135">
        <v>14687</v>
      </c>
      <c r="AR140" s="179">
        <f t="shared" si="23"/>
        <v>14687</v>
      </c>
      <c r="AS140" s="205">
        <f>AN140*'Factors &amp; Percentages'!$E$37+AP140*'Factors &amp; Percentages'!$E$38+AR140*'Factors &amp; Percentages'!$E$39</f>
        <v>9600.0878952667335</v>
      </c>
      <c r="AT140" s="18"/>
      <c r="AU140" s="203">
        <f t="shared" si="27"/>
        <v>29055.419151595779</v>
      </c>
      <c r="AV140" s="213">
        <f t="shared" si="21"/>
        <v>29055.419151595779</v>
      </c>
      <c r="AW140" s="196">
        <f>IF($BG140&gt;$AV140,$BG140*(1+'Factors &amp; Percentages'!$B$24),
IF($AU140&gt;$AV140,$AV140,
IF($AU140&gt;$BG140,$AU140,
$BG140*(1+'Factors &amp; Percentages'!$B$24))))</f>
        <v>29055.419151595779</v>
      </c>
      <c r="AX140" s="185">
        <f t="shared" si="24"/>
        <v>29055.419151595779</v>
      </c>
      <c r="AY140" s="127"/>
      <c r="AZ140" s="27"/>
      <c r="BA140" s="223">
        <v>26560.233044782974</v>
      </c>
      <c r="BB140" s="185">
        <v>25004</v>
      </c>
      <c r="BC140" s="204">
        <v>17589</v>
      </c>
      <c r="BD140" s="218">
        <v>16400</v>
      </c>
      <c r="BE140" s="224">
        <v>18302.100000000002</v>
      </c>
      <c r="BF140" s="219"/>
      <c r="BG140" s="221">
        <v>13000</v>
      </c>
      <c r="BH140" s="226">
        <v>18468</v>
      </c>
      <c r="BI140" s="220">
        <v>17589</v>
      </c>
      <c r="BJ140" s="227">
        <v>16400</v>
      </c>
      <c r="BK140" s="221">
        <v>16000</v>
      </c>
      <c r="BL140" s="128">
        <v>11000</v>
      </c>
      <c r="BM140" s="128">
        <v>10500</v>
      </c>
    </row>
    <row r="141" spans="1:65" x14ac:dyDescent="0.3">
      <c r="A141" s="111" t="s">
        <v>67</v>
      </c>
      <c r="B141" s="111" t="s">
        <v>432</v>
      </c>
      <c r="C141" s="138" t="s">
        <v>67</v>
      </c>
      <c r="D141" s="113" t="s">
        <v>302</v>
      </c>
      <c r="E141" s="113" t="s">
        <v>299</v>
      </c>
      <c r="F141" s="111"/>
      <c r="G141" s="46">
        <f t="shared" si="22"/>
        <v>34651.222724896303</v>
      </c>
      <c r="H141" s="111"/>
      <c r="I141" s="114">
        <v>63240</v>
      </c>
      <c r="J141" s="47">
        <v>40639</v>
      </c>
      <c r="K141" s="47">
        <v>37568</v>
      </c>
      <c r="L141" s="47">
        <v>15869</v>
      </c>
      <c r="M141" s="47">
        <v>18422</v>
      </c>
      <c r="N141" s="114">
        <v>15044</v>
      </c>
      <c r="O141" s="47">
        <v>15215</v>
      </c>
      <c r="P141" s="47">
        <v>22046</v>
      </c>
      <c r="Q141" s="115">
        <v>5442</v>
      </c>
      <c r="R141" s="47">
        <v>22187</v>
      </c>
      <c r="S141" s="47"/>
      <c r="T141" s="114">
        <v>17852</v>
      </c>
      <c r="U141" s="47">
        <v>11547</v>
      </c>
      <c r="V141" s="47">
        <v>7692</v>
      </c>
      <c r="W141" s="47">
        <v>5246</v>
      </c>
      <c r="X141" s="114">
        <v>11827</v>
      </c>
      <c r="Y141" s="47">
        <v>500</v>
      </c>
      <c r="Z141" s="47">
        <v>454</v>
      </c>
      <c r="AA141" s="47">
        <v>0</v>
      </c>
      <c r="AB141" s="47"/>
      <c r="AC141" s="16">
        <f t="shared" si="25"/>
        <v>64422.7</v>
      </c>
      <c r="AD141" s="16">
        <f t="shared" si="26"/>
        <v>16829.2</v>
      </c>
      <c r="AE141" s="16">
        <f>SUM(AC141*'Factors &amp; Percentages'!$E$27+AD141*'Factors &amp; Percentages'!$E$28)</f>
        <v>6976.8059333580868</v>
      </c>
      <c r="AF141" s="16"/>
      <c r="AG141" s="101">
        <v>1</v>
      </c>
      <c r="AH141" s="18">
        <f>AG141*'Factors &amp; Percentages'!$E$31</f>
        <v>13099.846088755494</v>
      </c>
      <c r="AI141" s="18"/>
      <c r="AJ141" s="18">
        <v>2997</v>
      </c>
      <c r="AK141" s="18">
        <f>AJ141*'Factors &amp; Percentages'!$E$34</f>
        <v>6270.8330687362777</v>
      </c>
      <c r="AL141" s="18"/>
      <c r="AM141" s="30">
        <v>45</v>
      </c>
      <c r="AN141" s="30">
        <v>38</v>
      </c>
      <c r="AO141" s="30">
        <v>42</v>
      </c>
      <c r="AP141" s="116">
        <v>53</v>
      </c>
      <c r="AQ141" s="115">
        <v>11461</v>
      </c>
      <c r="AR141" s="115">
        <f t="shared" si="23"/>
        <v>11461</v>
      </c>
      <c r="AS141" s="18">
        <f>AN141*'Factors &amp; Percentages'!$E$37+AP141*'Factors &amp; Percentages'!$E$38+AR141*'Factors &amp; Percentages'!$E$39</f>
        <v>8303.7376340464434</v>
      </c>
      <c r="AT141" s="18"/>
      <c r="AU141" s="18">
        <f t="shared" si="27"/>
        <v>34651.222724896303</v>
      </c>
      <c r="AV141" s="69">
        <f t="shared" si="21"/>
        <v>34651.222724896303</v>
      </c>
      <c r="AW141" s="46">
        <f>IF($BG141&gt;$AV141,$BG141*(1+'Factors &amp; Percentages'!$B$24),
IF($AU141&gt;$AV141,$AV141,
IF($AU141&gt;$BG141,$AU141,
$BG141*(1+'Factors &amp; Percentages'!$B$24))))</f>
        <v>34651.222724896303</v>
      </c>
      <c r="AX141" s="46">
        <f t="shared" si="24"/>
        <v>34651.222724896303</v>
      </c>
      <c r="AY141" s="69"/>
      <c r="AZ141" s="27"/>
      <c r="BA141" s="21">
        <v>26415.350000000002</v>
      </c>
      <c r="BB141" s="46">
        <v>24419.200000000001</v>
      </c>
      <c r="BC141" s="119">
        <v>10315</v>
      </c>
      <c r="BD141" s="120">
        <v>14349.999999999998</v>
      </c>
      <c r="BE141" s="120">
        <v>19709.05</v>
      </c>
      <c r="BF141" s="69"/>
      <c r="BG141" s="73">
        <v>12000</v>
      </c>
      <c r="BH141" s="73">
        <v>10001</v>
      </c>
      <c r="BI141" s="117">
        <v>7747</v>
      </c>
      <c r="BJ141" s="118">
        <v>6000</v>
      </c>
      <c r="BK141" s="106">
        <v>7000</v>
      </c>
      <c r="BL141" s="106">
        <v>12600</v>
      </c>
      <c r="BM141" s="106">
        <v>12600</v>
      </c>
    </row>
    <row r="142" spans="1:65" x14ac:dyDescent="0.3">
      <c r="A142" s="121" t="s">
        <v>433</v>
      </c>
      <c r="B142" s="121" t="s">
        <v>433</v>
      </c>
      <c r="C142" s="173" t="s">
        <v>273</v>
      </c>
      <c r="D142" s="122" t="s">
        <v>302</v>
      </c>
      <c r="E142" s="173" t="s">
        <v>303</v>
      </c>
      <c r="F142" s="111"/>
      <c r="G142" s="185">
        <f t="shared" si="22"/>
        <v>20649.405193475985</v>
      </c>
      <c r="H142" s="186"/>
      <c r="I142" s="187">
        <v>12790</v>
      </c>
      <c r="J142" s="188">
        <v>13794</v>
      </c>
      <c r="K142" s="189">
        <v>14871</v>
      </c>
      <c r="L142" s="123">
        <v>12496</v>
      </c>
      <c r="M142" s="123">
        <v>17776</v>
      </c>
      <c r="N142" s="190">
        <v>140757</v>
      </c>
      <c r="O142" s="189">
        <v>71596</v>
      </c>
      <c r="P142" s="188">
        <v>77083</v>
      </c>
      <c r="Q142" s="208">
        <v>61503</v>
      </c>
      <c r="R142" s="123">
        <v>0</v>
      </c>
      <c r="S142" s="188"/>
      <c r="T142" s="187">
        <v>5258</v>
      </c>
      <c r="U142" s="188">
        <v>5236</v>
      </c>
      <c r="V142" s="189">
        <v>5082</v>
      </c>
      <c r="W142" s="123">
        <v>4747</v>
      </c>
      <c r="X142" s="190">
        <v>265</v>
      </c>
      <c r="Y142" s="189">
        <v>154</v>
      </c>
      <c r="Z142" s="188">
        <v>62</v>
      </c>
      <c r="AA142" s="123">
        <v>119</v>
      </c>
      <c r="AB142" s="191"/>
      <c r="AC142" s="204">
        <f t="shared" si="25"/>
        <v>12816.5</v>
      </c>
      <c r="AD142" s="205">
        <f t="shared" si="26"/>
        <v>141282.79999999999</v>
      </c>
      <c r="AE142" s="204">
        <f>SUM(AC142*'Factors &amp; Percentages'!$E$27+AD142*'Factors &amp; Percentages'!$E$28)</f>
        <v>10654.752161073673</v>
      </c>
      <c r="AF142" s="16"/>
      <c r="AG142" s="125">
        <v>0.2</v>
      </c>
      <c r="AH142" s="204">
        <f>AG142*'Factors &amp; Percentages'!$E$31</f>
        <v>2619.9692177510988</v>
      </c>
      <c r="AI142" s="18"/>
      <c r="AJ142" s="126">
        <v>756</v>
      </c>
      <c r="AK142" s="204">
        <f>AJ142*'Factors &amp; Percentages'!$E$34</f>
        <v>1581.8317650866286</v>
      </c>
      <c r="AL142" s="18"/>
      <c r="AM142" s="124">
        <v>22</v>
      </c>
      <c r="AN142" s="211">
        <v>22</v>
      </c>
      <c r="AO142" s="124">
        <v>38</v>
      </c>
      <c r="AP142" s="212">
        <v>38</v>
      </c>
      <c r="AQ142" s="135">
        <v>10621</v>
      </c>
      <c r="AR142" s="179">
        <f t="shared" si="23"/>
        <v>10621</v>
      </c>
      <c r="AS142" s="205">
        <f>AN142*'Factors &amp; Percentages'!$E$37+AP142*'Factors &amp; Percentages'!$E$38+AR142*'Factors &amp; Percentages'!$E$39</f>
        <v>5792.8520495645844</v>
      </c>
      <c r="AT142" s="18"/>
      <c r="AU142" s="203">
        <f t="shared" si="27"/>
        <v>20649.405193475985</v>
      </c>
      <c r="AV142" s="213">
        <f t="shared" si="21"/>
        <v>20649.405193475985</v>
      </c>
      <c r="AW142" s="196">
        <f>IF($BG142&gt;$AV142,$BG142*(1+'Factors &amp; Percentages'!$B$24),
IF($AU142&gt;$AV142,$AV142,
IF($AU142&gt;$BG142,$AU142,
$BG142*(1+'Factors &amp; Percentages'!$B$24))))</f>
        <v>20649.405193475985</v>
      </c>
      <c r="AX142" s="185">
        <f t="shared" si="24"/>
        <v>20649.405193475985</v>
      </c>
      <c r="AY142" s="127"/>
      <c r="AZ142" s="27"/>
      <c r="BA142" s="223">
        <v>24106.082213449641</v>
      </c>
      <c r="BB142" s="185">
        <v>22277</v>
      </c>
      <c r="BC142" s="204">
        <v>12132</v>
      </c>
      <c r="BD142" s="218">
        <v>11554.4</v>
      </c>
      <c r="BE142" s="224">
        <v>11754.4</v>
      </c>
      <c r="BF142" s="219"/>
      <c r="BG142" s="221">
        <v>13000</v>
      </c>
      <c r="BH142" s="226">
        <v>13000</v>
      </c>
      <c r="BI142" s="220">
        <v>12132</v>
      </c>
      <c r="BJ142" s="227">
        <v>11554</v>
      </c>
      <c r="BK142" s="221">
        <v>8000</v>
      </c>
      <c r="BL142" s="128">
        <v>7999.99</v>
      </c>
      <c r="BM142" s="128">
        <v>8000</v>
      </c>
    </row>
    <row r="143" spans="1:65" x14ac:dyDescent="0.3">
      <c r="A143" s="111" t="s">
        <v>434</v>
      </c>
      <c r="B143" s="111" t="s">
        <v>434</v>
      </c>
      <c r="C143" s="138" t="s">
        <v>229</v>
      </c>
      <c r="D143" s="113" t="s">
        <v>302</v>
      </c>
      <c r="E143" s="113" t="s">
        <v>299</v>
      </c>
      <c r="F143" s="111"/>
      <c r="G143" s="46">
        <f t="shared" si="22"/>
        <v>23649.480092546099</v>
      </c>
      <c r="H143" s="111"/>
      <c r="I143" s="114">
        <v>27881</v>
      </c>
      <c r="J143" s="47">
        <v>36427</v>
      </c>
      <c r="K143" s="47">
        <v>36615</v>
      </c>
      <c r="L143" s="47">
        <v>54453</v>
      </c>
      <c r="M143" s="47">
        <v>27820</v>
      </c>
      <c r="N143" s="114">
        <v>34580</v>
      </c>
      <c r="O143" s="47">
        <v>44275</v>
      </c>
      <c r="P143" s="47">
        <v>58558</v>
      </c>
      <c r="Q143" s="115">
        <v>47513</v>
      </c>
      <c r="R143" s="47">
        <v>19020</v>
      </c>
      <c r="S143" s="47"/>
      <c r="T143" s="114">
        <v>0</v>
      </c>
      <c r="U143" s="47">
        <v>3907</v>
      </c>
      <c r="V143" s="47">
        <v>3907</v>
      </c>
      <c r="W143" s="47">
        <v>3906</v>
      </c>
      <c r="X143" s="114">
        <v>0</v>
      </c>
      <c r="Y143" s="47">
        <v>390</v>
      </c>
      <c r="Z143" s="47">
        <v>290</v>
      </c>
      <c r="AA143" s="47">
        <v>2735</v>
      </c>
      <c r="AB143" s="47"/>
      <c r="AC143" s="16">
        <f t="shared" si="25"/>
        <v>27881</v>
      </c>
      <c r="AD143" s="16">
        <f t="shared" si="26"/>
        <v>34580</v>
      </c>
      <c r="AE143" s="16">
        <f>SUM(AC143*'Factors &amp; Percentages'!$E$27+AD143*'Factors &amp; Percentages'!$E$28)</f>
        <v>4853.2848464676554</v>
      </c>
      <c r="AF143" s="16"/>
      <c r="AG143" s="101">
        <v>0.5</v>
      </c>
      <c r="AH143" s="18">
        <f>AG143*'Factors &amp; Percentages'!$E$31</f>
        <v>6549.9230443777469</v>
      </c>
      <c r="AI143" s="18"/>
      <c r="AJ143" s="18">
        <v>3358</v>
      </c>
      <c r="AK143" s="18">
        <f>AJ143*'Factors &amp; Percentages'!$E$34</f>
        <v>7026.1786602657394</v>
      </c>
      <c r="AL143" s="18"/>
      <c r="AM143" s="30">
        <v>26</v>
      </c>
      <c r="AN143" s="30">
        <v>24</v>
      </c>
      <c r="AO143" s="30">
        <v>68</v>
      </c>
      <c r="AP143" s="116">
        <v>0</v>
      </c>
      <c r="AQ143" s="115">
        <v>10963</v>
      </c>
      <c r="AR143" s="115">
        <f t="shared" si="23"/>
        <v>10963</v>
      </c>
      <c r="AS143" s="18">
        <f>AN143*'Factors &amp; Percentages'!$E$37+AP143*'Factors &amp; Percentages'!$E$38+AR143*'Factors &amp; Percentages'!$E$39</f>
        <v>5220.093541434956</v>
      </c>
      <c r="AT143" s="18"/>
      <c r="AU143" s="18">
        <f t="shared" si="27"/>
        <v>23649.480092546099</v>
      </c>
      <c r="AV143" s="69">
        <f t="shared" si="21"/>
        <v>23649.480092546099</v>
      </c>
      <c r="AW143" s="46">
        <f>IF($BG143&gt;$AV143,$BG143*(1+'Factors &amp; Percentages'!$B$24),
IF($AU143&gt;$AV143,$AV143,
IF($AU143&gt;$BG143,$AU143,
$BG143*(1+'Factors &amp; Percentages'!$B$24))))</f>
        <v>23649.480092546099</v>
      </c>
      <c r="AX143" s="46">
        <f t="shared" si="24"/>
        <v>23649.480092546099</v>
      </c>
      <c r="AY143" s="69"/>
      <c r="AZ143" s="27"/>
      <c r="BA143" s="21">
        <v>25902.45</v>
      </c>
      <c r="BB143" s="46">
        <v>25902.45</v>
      </c>
      <c r="BC143" s="119">
        <v>24669</v>
      </c>
      <c r="BD143" s="120">
        <v>18083</v>
      </c>
      <c r="BE143" s="89">
        <v>29254.364845031563</v>
      </c>
      <c r="BF143" s="69"/>
      <c r="BG143" s="73">
        <v>17220</v>
      </c>
      <c r="BH143" s="73">
        <v>24669</v>
      </c>
      <c r="BI143" s="117">
        <v>24669</v>
      </c>
      <c r="BJ143" s="118">
        <v>14030</v>
      </c>
      <c r="BK143" s="106">
        <v>14030</v>
      </c>
      <c r="BL143" s="106">
        <v>28060</v>
      </c>
      <c r="BM143" s="106">
        <v>27243</v>
      </c>
    </row>
    <row r="144" spans="1:65" x14ac:dyDescent="0.3">
      <c r="A144" s="121" t="s">
        <v>435</v>
      </c>
      <c r="B144" s="121" t="s">
        <v>119</v>
      </c>
      <c r="C144" s="174" t="s">
        <v>119</v>
      </c>
      <c r="D144" s="122" t="s">
        <v>302</v>
      </c>
      <c r="E144" s="173" t="s">
        <v>112</v>
      </c>
      <c r="F144" s="111"/>
      <c r="G144" s="185">
        <f t="shared" si="22"/>
        <v>38587.5</v>
      </c>
      <c r="H144" s="186"/>
      <c r="I144" s="187">
        <v>58192</v>
      </c>
      <c r="J144" s="188">
        <v>64397</v>
      </c>
      <c r="K144" s="189">
        <v>64093</v>
      </c>
      <c r="L144" s="123">
        <v>59030</v>
      </c>
      <c r="M144" s="123">
        <v>72175</v>
      </c>
      <c r="N144" s="190">
        <v>22643</v>
      </c>
      <c r="O144" s="189">
        <v>29239</v>
      </c>
      <c r="P144" s="188">
        <v>29247</v>
      </c>
      <c r="Q144" s="208">
        <v>46475</v>
      </c>
      <c r="R144" s="123">
        <v>29827</v>
      </c>
      <c r="S144" s="188"/>
      <c r="T144" s="187">
        <v>18027</v>
      </c>
      <c r="U144" s="188">
        <v>22344</v>
      </c>
      <c r="V144" s="189">
        <v>13432</v>
      </c>
      <c r="W144" s="123">
        <v>6533</v>
      </c>
      <c r="X144" s="190">
        <v>8781</v>
      </c>
      <c r="Y144" s="189">
        <v>13375</v>
      </c>
      <c r="Z144" s="188">
        <v>10136</v>
      </c>
      <c r="AA144" s="123">
        <v>13061</v>
      </c>
      <c r="AB144" s="191"/>
      <c r="AC144" s="204">
        <f t="shared" si="25"/>
        <v>59070.1</v>
      </c>
      <c r="AD144" s="205">
        <f t="shared" si="26"/>
        <v>24445.7</v>
      </c>
      <c r="AE144" s="204">
        <f>SUM(AC144*'Factors &amp; Percentages'!$E$27+AD144*'Factors &amp; Percentages'!$E$28)</f>
        <v>7002.7654378760635</v>
      </c>
      <c r="AF144" s="16"/>
      <c r="AG144" s="125">
        <v>1</v>
      </c>
      <c r="AH144" s="204">
        <f>AG144*'Factors &amp; Percentages'!$E$31</f>
        <v>13099.846088755494</v>
      </c>
      <c r="AI144" s="18"/>
      <c r="AJ144" s="126">
        <v>486</v>
      </c>
      <c r="AK144" s="204">
        <f>AJ144*'Factors &amp; Percentages'!$E$34</f>
        <v>1016.8918489842613</v>
      </c>
      <c r="AL144" s="18"/>
      <c r="AM144" s="124">
        <v>40</v>
      </c>
      <c r="AN144" s="211">
        <v>40</v>
      </c>
      <c r="AO144" s="124">
        <v>101</v>
      </c>
      <c r="AP144" s="212">
        <v>95</v>
      </c>
      <c r="AQ144" s="135">
        <v>20643</v>
      </c>
      <c r="AR144" s="179">
        <f t="shared" si="23"/>
        <v>20643</v>
      </c>
      <c r="AS144" s="205">
        <f>AN144*'Factors &amp; Percentages'!$E$37+AP144*'Factors &amp; Percentages'!$E$38+AR144*'Factors &amp; Percentages'!$E$39</f>
        <v>11412.005326184033</v>
      </c>
      <c r="AT144" s="18"/>
      <c r="AU144" s="203">
        <f t="shared" si="27"/>
        <v>32531.508701799852</v>
      </c>
      <c r="AV144" s="213">
        <f t="shared" si="21"/>
        <v>32531.508701799852</v>
      </c>
      <c r="AW144" s="196">
        <f>IF($BG144&gt;$AV144,$BG144*(1+'Factors &amp; Percentages'!$B$24),
IF($AU144&gt;$AV144,$AV144,
IF($AU144&gt;$BG144,$AU144,
$BG144*(1+'Factors &amp; Percentages'!$B$24))))</f>
        <v>38587.5</v>
      </c>
      <c r="AX144" s="185">
        <f t="shared" si="24"/>
        <v>38587.5</v>
      </c>
      <c r="AY144" s="127"/>
      <c r="AZ144" s="27"/>
      <c r="BA144" s="223">
        <v>36750</v>
      </c>
      <c r="BB144" s="185">
        <v>40950</v>
      </c>
      <c r="BC144" s="204">
        <v>40950</v>
      </c>
      <c r="BD144" s="218">
        <v>41345.320465577257</v>
      </c>
      <c r="BE144" s="224">
        <v>35517.388389840591</v>
      </c>
      <c r="BF144" s="219"/>
      <c r="BG144" s="221">
        <v>36750</v>
      </c>
      <c r="BH144" s="226">
        <v>35000</v>
      </c>
      <c r="BI144" s="220">
        <v>39000</v>
      </c>
      <c r="BJ144" s="227">
        <v>39000</v>
      </c>
      <c r="BK144" s="221">
        <v>37207</v>
      </c>
      <c r="BL144" s="128">
        <v>33075</v>
      </c>
      <c r="BM144" s="128">
        <v>31500</v>
      </c>
    </row>
    <row r="145" spans="1:65" x14ac:dyDescent="0.3">
      <c r="A145" s="111" t="s">
        <v>436</v>
      </c>
      <c r="B145" s="111" t="s">
        <v>437</v>
      </c>
      <c r="C145" s="112" t="s">
        <v>105</v>
      </c>
      <c r="D145" s="113" t="s">
        <v>295</v>
      </c>
      <c r="E145" s="113" t="s">
        <v>295</v>
      </c>
      <c r="F145" s="111"/>
      <c r="G145" s="46">
        <f t="shared" si="22"/>
        <v>30488.974144633314</v>
      </c>
      <c r="H145" s="111"/>
      <c r="I145" s="114">
        <v>36784</v>
      </c>
      <c r="J145" s="47">
        <v>30821</v>
      </c>
      <c r="K145" s="47">
        <v>28376</v>
      </c>
      <c r="L145" s="47">
        <v>26934</v>
      </c>
      <c r="M145" s="47">
        <v>21766</v>
      </c>
      <c r="N145" s="114">
        <v>33208</v>
      </c>
      <c r="O145" s="47">
        <v>33797</v>
      </c>
      <c r="P145" s="47">
        <v>38977</v>
      </c>
      <c r="Q145" s="115">
        <v>39153</v>
      </c>
      <c r="R145" s="47">
        <v>38268</v>
      </c>
      <c r="S145" s="47"/>
      <c r="T145" s="114">
        <v>27707</v>
      </c>
      <c r="U145" s="47">
        <v>23561</v>
      </c>
      <c r="V145" s="47">
        <v>20333</v>
      </c>
      <c r="W145" s="47">
        <v>17497</v>
      </c>
      <c r="X145" s="114">
        <v>2517</v>
      </c>
      <c r="Y145" s="47">
        <v>2690</v>
      </c>
      <c r="Z145" s="47">
        <v>2173</v>
      </c>
      <c r="AA145" s="47">
        <v>0</v>
      </c>
      <c r="AB145" s="47"/>
      <c r="AC145" s="16">
        <f t="shared" si="25"/>
        <v>37035.699999999997</v>
      </c>
      <c r="AD145" s="16">
        <f t="shared" si="26"/>
        <v>35978.699999999997</v>
      </c>
      <c r="AE145" s="16">
        <f>SUM(AC145*'Factors &amp; Percentages'!$E$27+AD145*'Factors &amp; Percentages'!$E$28)</f>
        <v>5778.0164901631269</v>
      </c>
      <c r="AF145" s="16"/>
      <c r="AG145" s="101">
        <v>0.3</v>
      </c>
      <c r="AH145" s="18">
        <f>AG145*'Factors &amp; Percentages'!$E$31</f>
        <v>3929.9538266266482</v>
      </c>
      <c r="AI145" s="18"/>
      <c r="AJ145" s="18">
        <v>8021</v>
      </c>
      <c r="AK145" s="18">
        <f>AJ145*'Factors &amp; Percentages'!$E$34</f>
        <v>16782.900248359587</v>
      </c>
      <c r="AL145" s="18"/>
      <c r="AM145" s="30">
        <v>21</v>
      </c>
      <c r="AN145" s="30">
        <v>23</v>
      </c>
      <c r="AO145" s="30">
        <v>35</v>
      </c>
      <c r="AP145" s="116">
        <v>35</v>
      </c>
      <c r="AQ145" s="115">
        <v>1568</v>
      </c>
      <c r="AR145" s="115">
        <f t="shared" si="23"/>
        <v>1568</v>
      </c>
      <c r="AS145" s="18">
        <f>AN145*'Factors &amp; Percentages'!$E$37+AP145*'Factors &amp; Percentages'!$E$38+AR145*'Factors &amp; Percentages'!$E$39</f>
        <v>3998.1035794839513</v>
      </c>
      <c r="AT145" s="18"/>
      <c r="AU145" s="18">
        <f t="shared" si="27"/>
        <v>30488.974144633314</v>
      </c>
      <c r="AV145" s="69">
        <f t="shared" si="21"/>
        <v>30488.974144633314</v>
      </c>
      <c r="AW145" s="46">
        <f>IF($BG145&gt;$AV145,$BG145*(1+'Factors &amp; Percentages'!$B$24),
IF($AU145&gt;$AV145,$AV145,
IF($AU145&gt;$BG145,$AU145,
$BG145*(1+'Factors &amp; Percentages'!$B$24))))</f>
        <v>30488.974144633314</v>
      </c>
      <c r="AX145" s="46">
        <f t="shared" si="24"/>
        <v>30488.974144633314</v>
      </c>
      <c r="AY145" s="69"/>
      <c r="AZ145" s="27"/>
      <c r="BA145" s="21">
        <v>27229.579350996861</v>
      </c>
      <c r="BB145" s="46">
        <v>27294</v>
      </c>
      <c r="BC145" s="119">
        <v>17507</v>
      </c>
      <c r="BD145" s="120">
        <v>14147.9</v>
      </c>
      <c r="BE145" s="120">
        <v>22020.7</v>
      </c>
      <c r="BF145" s="69"/>
      <c r="BG145" s="73">
        <v>15000</v>
      </c>
      <c r="BH145" s="73">
        <v>14148</v>
      </c>
      <c r="BI145" s="117">
        <v>15000</v>
      </c>
      <c r="BJ145" s="118">
        <v>14148</v>
      </c>
      <c r="BK145" s="106">
        <v>13200</v>
      </c>
      <c r="BL145" s="106">
        <v>12792</v>
      </c>
      <c r="BM145" s="106">
        <v>12300</v>
      </c>
    </row>
    <row r="146" spans="1:65" x14ac:dyDescent="0.3">
      <c r="A146" s="121" t="s">
        <v>438</v>
      </c>
      <c r="B146" s="121" t="s">
        <v>439</v>
      </c>
      <c r="C146" s="174" t="s">
        <v>204</v>
      </c>
      <c r="D146" s="122" t="s">
        <v>279</v>
      </c>
      <c r="E146" s="173" t="s">
        <v>280</v>
      </c>
      <c r="F146" s="111"/>
      <c r="G146" s="185">
        <f t="shared" si="22"/>
        <v>88200</v>
      </c>
      <c r="H146" s="186"/>
      <c r="I146" s="187">
        <v>241846</v>
      </c>
      <c r="J146" s="188">
        <v>237679</v>
      </c>
      <c r="K146" s="189">
        <v>264006</v>
      </c>
      <c r="L146" s="123">
        <v>232471</v>
      </c>
      <c r="M146" s="123">
        <v>226047</v>
      </c>
      <c r="N146" s="190">
        <v>72575</v>
      </c>
      <c r="O146" s="189">
        <v>47312</v>
      </c>
      <c r="P146" s="188">
        <v>50333</v>
      </c>
      <c r="Q146" s="208">
        <v>50037</v>
      </c>
      <c r="R146" s="123">
        <v>40431</v>
      </c>
      <c r="S146" s="188"/>
      <c r="T146" s="187">
        <v>11162</v>
      </c>
      <c r="U146" s="188">
        <v>8946</v>
      </c>
      <c r="V146" s="189">
        <v>8800</v>
      </c>
      <c r="W146" s="123">
        <v>14618</v>
      </c>
      <c r="X146" s="190">
        <v>25735</v>
      </c>
      <c r="Y146" s="189">
        <v>44386</v>
      </c>
      <c r="Z146" s="188">
        <v>17764</v>
      </c>
      <c r="AA146" s="123">
        <v>22729</v>
      </c>
      <c r="AB146" s="191"/>
      <c r="AC146" s="204">
        <f t="shared" si="25"/>
        <v>244419.5</v>
      </c>
      <c r="AD146" s="205">
        <f t="shared" si="26"/>
        <v>73691.199999999997</v>
      </c>
      <c r="AE146" s="204">
        <f>SUM(AC146*'Factors &amp; Percentages'!$E$27+AD146*'Factors &amp; Percentages'!$E$28)</f>
        <v>27131.13593451116</v>
      </c>
      <c r="AF146" s="16"/>
      <c r="AG146" s="125">
        <v>0.9</v>
      </c>
      <c r="AH146" s="204">
        <f>AG146*'Factors &amp; Percentages'!$E$31</f>
        <v>11789.861479879944</v>
      </c>
      <c r="AI146" s="18"/>
      <c r="AJ146" s="126">
        <v>9192</v>
      </c>
      <c r="AK146" s="204">
        <f>AJ146*'Factors &amp; Percentages'!$E$34</f>
        <v>19233.06558819615</v>
      </c>
      <c r="AL146" s="18"/>
      <c r="AM146" s="124">
        <v>129</v>
      </c>
      <c r="AN146" s="211">
        <v>130</v>
      </c>
      <c r="AO146" s="124">
        <v>216</v>
      </c>
      <c r="AP146" s="212">
        <v>185</v>
      </c>
      <c r="AQ146" s="135">
        <v>2970</v>
      </c>
      <c r="AR146" s="179">
        <f t="shared" si="23"/>
        <v>2970</v>
      </c>
      <c r="AS146" s="205">
        <f>AN146*'Factors &amp; Percentages'!$E$37+AP146*'Factors &amp; Percentages'!$E$38+AR146*'Factors &amp; Percentages'!$E$39</f>
        <v>21093.94735999544</v>
      </c>
      <c r="AT146" s="18"/>
      <c r="AU146" s="203">
        <f t="shared" si="27"/>
        <v>79248.010362582689</v>
      </c>
      <c r="AV146" s="213">
        <f t="shared" si="21"/>
        <v>79248.010362582689</v>
      </c>
      <c r="AW146" s="196">
        <f>IF($BG146&gt;$AV146,$BG146*(1+'Factors &amp; Percentages'!$B$24),
IF($AU146&gt;$AV146,$AV146,
IF($AU146&gt;$BG146,$AU146,
$BG146*(1+'Factors &amp; Percentages'!$B$24))))</f>
        <v>88200</v>
      </c>
      <c r="AX146" s="185">
        <f t="shared" si="24"/>
        <v>88200</v>
      </c>
      <c r="AY146" s="127"/>
      <c r="AZ146" s="27"/>
      <c r="BA146" s="223">
        <v>84000</v>
      </c>
      <c r="BB146" s="185">
        <v>117526.5</v>
      </c>
      <c r="BC146" s="204">
        <v>111930</v>
      </c>
      <c r="BD146" s="218">
        <v>106599.99999999999</v>
      </c>
      <c r="BE146" s="224">
        <v>104012</v>
      </c>
      <c r="BF146" s="219"/>
      <c r="BG146" s="221">
        <v>84000</v>
      </c>
      <c r="BH146" s="226">
        <v>80000</v>
      </c>
      <c r="BI146" s="220">
        <v>111930</v>
      </c>
      <c r="BJ146" s="227">
        <v>106600</v>
      </c>
      <c r="BK146" s="221">
        <v>104000</v>
      </c>
      <c r="BL146" s="128">
        <v>101475</v>
      </c>
      <c r="BM146" s="128">
        <v>96642</v>
      </c>
    </row>
    <row r="147" spans="1:65" x14ac:dyDescent="0.3">
      <c r="A147" s="111" t="s">
        <v>170</v>
      </c>
      <c r="B147" s="111" t="s">
        <v>170</v>
      </c>
      <c r="C147" s="112" t="s">
        <v>170</v>
      </c>
      <c r="D147" s="113" t="s">
        <v>302</v>
      </c>
      <c r="E147" s="113" t="s">
        <v>317</v>
      </c>
      <c r="F147" s="111"/>
      <c r="G147" s="46">
        <f t="shared" si="22"/>
        <v>15241.570768712605</v>
      </c>
      <c r="H147" s="111"/>
      <c r="I147" s="114">
        <v>26865</v>
      </c>
      <c r="J147" s="47">
        <v>16252</v>
      </c>
      <c r="K147" s="47">
        <v>17165</v>
      </c>
      <c r="L147" s="47">
        <v>11197</v>
      </c>
      <c r="M147" s="47">
        <v>10873</v>
      </c>
      <c r="N147" s="114">
        <v>21887</v>
      </c>
      <c r="O147" s="47">
        <v>17345</v>
      </c>
      <c r="P147" s="47">
        <v>19152</v>
      </c>
      <c r="Q147" s="115">
        <v>39041</v>
      </c>
      <c r="R147" s="47">
        <v>43251</v>
      </c>
      <c r="S147" s="47"/>
      <c r="T147" s="114">
        <v>8769</v>
      </c>
      <c r="U147" s="47">
        <v>8631</v>
      </c>
      <c r="V147" s="47">
        <v>3477</v>
      </c>
      <c r="W147" s="47">
        <v>3477</v>
      </c>
      <c r="X147" s="114">
        <v>138</v>
      </c>
      <c r="Y147" s="47">
        <v>5154</v>
      </c>
      <c r="Z147" s="47">
        <v>0</v>
      </c>
      <c r="AA147" s="47">
        <v>156</v>
      </c>
      <c r="AB147" s="47"/>
      <c r="AC147" s="16">
        <f t="shared" si="25"/>
        <v>26878.799999999999</v>
      </c>
      <c r="AD147" s="16">
        <f t="shared" si="26"/>
        <v>22763.9</v>
      </c>
      <c r="AE147" s="16">
        <f>SUM(AC147*'Factors &amp; Percentages'!$E$27+AD147*'Factors &amp; Percentages'!$E$28)</f>
        <v>3968.506300450963</v>
      </c>
      <c r="AF147" s="16"/>
      <c r="AG147" s="101">
        <v>0.5</v>
      </c>
      <c r="AH147" s="18">
        <f>AG147*'Factors &amp; Percentages'!$E$31</f>
        <v>6549.9230443777469</v>
      </c>
      <c r="AI147" s="18"/>
      <c r="AJ147" s="18">
        <v>184</v>
      </c>
      <c r="AK147" s="18">
        <f>AJ147*'Factors &amp; Percentages'!$E$34</f>
        <v>384.99609097346519</v>
      </c>
      <c r="AL147" s="18"/>
      <c r="AM147" s="137">
        <v>18</v>
      </c>
      <c r="AN147" s="30">
        <v>18</v>
      </c>
      <c r="AO147" s="137">
        <v>29</v>
      </c>
      <c r="AP147" s="116">
        <v>29</v>
      </c>
      <c r="AQ147" s="115">
        <v>6964</v>
      </c>
      <c r="AR147" s="115">
        <f t="shared" si="23"/>
        <v>6964</v>
      </c>
      <c r="AS147" s="18">
        <f>AN147*'Factors &amp; Percentages'!$E$37+AP147*'Factors &amp; Percentages'!$E$38+AR147*'Factors &amp; Percentages'!$E$39</f>
        <v>4338.1453329104297</v>
      </c>
      <c r="AT147" s="18"/>
      <c r="AU147" s="18">
        <f t="shared" si="27"/>
        <v>15241.570768712605</v>
      </c>
      <c r="AV147" s="69">
        <f t="shared" ref="AV147:AV150" si="28">IF($N147&gt;($J147+$K147+$I147)/3,$AU147,MIN(AU147,$I147*0.65))</f>
        <v>15241.570768712605</v>
      </c>
      <c r="AW147" s="46">
        <f>IF($BG147&gt;$AV147,$BG147*(1+'Factors &amp; Percentages'!$B$24),
IF($AU147&gt;$AV147,$AV147,
IF($AU147&gt;$BG147,$AU147,
$BG147*(1+'Factors &amp; Percentages'!$B$24))))</f>
        <v>15241.570768712605</v>
      </c>
      <c r="AX147" s="46">
        <f t="shared" si="24"/>
        <v>15241.570768712605</v>
      </c>
      <c r="AY147" s="69"/>
      <c r="AZ147" s="27"/>
      <c r="BA147" s="21">
        <v>13577.094364702334</v>
      </c>
      <c r="BB147" s="46">
        <v>13011.049269970847</v>
      </c>
      <c r="BC147" s="119">
        <v>7278</v>
      </c>
      <c r="BD147" s="120">
        <v>7067.45</v>
      </c>
      <c r="BE147" s="120">
        <v>17790.932310024647</v>
      </c>
      <c r="BF147" s="69"/>
      <c r="BG147" s="73">
        <v>5500</v>
      </c>
      <c r="BH147" s="73">
        <v>5000</v>
      </c>
      <c r="BI147" s="117">
        <v>4000</v>
      </c>
      <c r="BJ147" s="118">
        <v>3000</v>
      </c>
      <c r="BK147" s="106">
        <v>4000</v>
      </c>
      <c r="BL147" s="106">
        <v>7000</v>
      </c>
      <c r="BM147" s="106">
        <v>8729</v>
      </c>
    </row>
    <row r="148" spans="1:65" x14ac:dyDescent="0.3">
      <c r="A148" s="121" t="s">
        <v>222</v>
      </c>
      <c r="B148" s="121" t="s">
        <v>222</v>
      </c>
      <c r="C148" s="174" t="s">
        <v>222</v>
      </c>
      <c r="D148" s="122" t="s">
        <v>302</v>
      </c>
      <c r="E148" s="173" t="s">
        <v>303</v>
      </c>
      <c r="F148" s="111"/>
      <c r="G148" s="185">
        <f t="shared" si="22"/>
        <v>35959.403486847979</v>
      </c>
      <c r="H148" s="186"/>
      <c r="I148" s="187">
        <v>61126</v>
      </c>
      <c r="J148" s="188">
        <v>58569</v>
      </c>
      <c r="K148" s="189">
        <v>57384</v>
      </c>
      <c r="L148" s="123">
        <v>46164</v>
      </c>
      <c r="M148" s="123">
        <v>31575</v>
      </c>
      <c r="N148" s="190">
        <v>36168</v>
      </c>
      <c r="O148" s="189">
        <v>44947</v>
      </c>
      <c r="P148" s="188">
        <v>38416</v>
      </c>
      <c r="Q148" s="208">
        <v>33877</v>
      </c>
      <c r="R148" s="123">
        <v>14893</v>
      </c>
      <c r="S148" s="188"/>
      <c r="T148" s="187">
        <v>173099</v>
      </c>
      <c r="U148" s="188">
        <v>39025</v>
      </c>
      <c r="V148" s="189">
        <v>37937</v>
      </c>
      <c r="W148" s="123">
        <v>165221</v>
      </c>
      <c r="X148" s="190">
        <v>846</v>
      </c>
      <c r="Y148" s="189">
        <v>1008</v>
      </c>
      <c r="Z148" s="188">
        <v>4544</v>
      </c>
      <c r="AA148" s="123">
        <v>5</v>
      </c>
      <c r="AB148" s="191"/>
      <c r="AC148" s="204">
        <f t="shared" si="25"/>
        <v>61210.6</v>
      </c>
      <c r="AD148" s="205">
        <f t="shared" si="26"/>
        <v>53477.9</v>
      </c>
      <c r="AE148" s="204">
        <f>SUM(AC148*'Factors &amp; Percentages'!$E$27+AD148*'Factors &amp; Percentages'!$E$28)</f>
        <v>9147.4571358673365</v>
      </c>
      <c r="AF148" s="16"/>
      <c r="AG148" s="125">
        <v>1</v>
      </c>
      <c r="AH148" s="204">
        <f>AG148*'Factors &amp; Percentages'!$E$31</f>
        <v>13099.846088755494</v>
      </c>
      <c r="AI148" s="18"/>
      <c r="AJ148" s="126">
        <v>1958</v>
      </c>
      <c r="AK148" s="204">
        <f>AJ148*'Factors &amp; Percentages'!$E$34</f>
        <v>4096.8605767719828</v>
      </c>
      <c r="AL148" s="18"/>
      <c r="AM148" s="124">
        <v>48</v>
      </c>
      <c r="AN148" s="211">
        <v>45</v>
      </c>
      <c r="AO148" s="124">
        <v>74</v>
      </c>
      <c r="AP148" s="212">
        <v>76</v>
      </c>
      <c r="AQ148" s="135">
        <v>10984</v>
      </c>
      <c r="AR148" s="179">
        <f t="shared" si="23"/>
        <v>10984</v>
      </c>
      <c r="AS148" s="205">
        <f>AN148*'Factors &amp; Percentages'!$E$37+AP148*'Factors &amp; Percentages'!$E$38+AR148*'Factors &amp; Percentages'!$E$39</f>
        <v>9615.2396854531689</v>
      </c>
      <c r="AT148" s="18"/>
      <c r="AU148" s="203">
        <f t="shared" si="27"/>
        <v>35959.403486847979</v>
      </c>
      <c r="AV148" s="213">
        <f t="shared" si="28"/>
        <v>35959.403486847979</v>
      </c>
      <c r="AW148" s="196">
        <f>IF($BG148&gt;$AV148,$BG148*(1+'Factors &amp; Percentages'!$B$24),
IF($AU148&gt;$AV148,$AV148,
IF($AU148&gt;$BG148,$AU148,
$BG148*(1+'Factors &amp; Percentages'!$B$24))))</f>
        <v>35959.403486847979</v>
      </c>
      <c r="AX148" s="185">
        <f t="shared" si="24"/>
        <v>35959.403486847979</v>
      </c>
      <c r="AY148" s="127"/>
      <c r="AZ148" s="27"/>
      <c r="BA148" s="223">
        <v>32641.9991240128</v>
      </c>
      <c r="BB148" s="185">
        <v>29371</v>
      </c>
      <c r="BC148" s="204">
        <v>30007</v>
      </c>
      <c r="BD148" s="218">
        <v>26388.624999999996</v>
      </c>
      <c r="BE148" s="224">
        <v>25744.95</v>
      </c>
      <c r="BF148" s="219"/>
      <c r="BG148" s="221">
        <v>31200</v>
      </c>
      <c r="BH148" s="226">
        <v>27000</v>
      </c>
      <c r="BI148" s="220">
        <v>25000</v>
      </c>
      <c r="BJ148" s="227">
        <v>23000</v>
      </c>
      <c r="BK148" s="221">
        <v>25745</v>
      </c>
      <c r="BL148" s="128">
        <v>23000</v>
      </c>
      <c r="BM148" s="128">
        <v>23000</v>
      </c>
    </row>
    <row r="149" spans="1:65" x14ac:dyDescent="0.3">
      <c r="A149" s="111" t="s">
        <v>142</v>
      </c>
      <c r="B149" s="111" t="s">
        <v>142</v>
      </c>
      <c r="C149" s="112" t="s">
        <v>142</v>
      </c>
      <c r="D149" s="113" t="s">
        <v>302</v>
      </c>
      <c r="E149" s="113" t="s">
        <v>316</v>
      </c>
      <c r="F149" s="111"/>
      <c r="G149" s="46">
        <f t="shared" si="22"/>
        <v>35457.758583934665</v>
      </c>
      <c r="H149" s="111"/>
      <c r="I149" s="114">
        <v>60819</v>
      </c>
      <c r="J149" s="47">
        <v>57921</v>
      </c>
      <c r="K149" s="47">
        <v>68407</v>
      </c>
      <c r="L149" s="47">
        <v>50704</v>
      </c>
      <c r="M149" s="47">
        <v>45621</v>
      </c>
      <c r="N149" s="114">
        <v>12593</v>
      </c>
      <c r="O149" s="47">
        <v>14303</v>
      </c>
      <c r="P149" s="47">
        <v>22467</v>
      </c>
      <c r="Q149" s="115">
        <v>32081</v>
      </c>
      <c r="R149" s="47">
        <v>34460</v>
      </c>
      <c r="S149" s="47"/>
      <c r="T149" s="114">
        <v>17637</v>
      </c>
      <c r="U149" s="47">
        <v>15903</v>
      </c>
      <c r="V149" s="47">
        <v>4788</v>
      </c>
      <c r="W149" s="47">
        <v>3358</v>
      </c>
      <c r="X149" s="114">
        <v>4045</v>
      </c>
      <c r="Y149" s="47">
        <v>14445</v>
      </c>
      <c r="Z149" s="47">
        <v>1933</v>
      </c>
      <c r="AA149" s="47">
        <v>742</v>
      </c>
      <c r="AB149" s="47"/>
      <c r="AC149" s="16">
        <f t="shared" si="25"/>
        <v>61223.5</v>
      </c>
      <c r="AD149" s="16">
        <f t="shared" si="26"/>
        <v>14356.7</v>
      </c>
      <c r="AE149" s="16">
        <f>SUM(AC149*'Factors &amp; Percentages'!$E$27+AD149*'Factors &amp; Percentages'!$E$28)</f>
        <v>6520.3793148167279</v>
      </c>
      <c r="AF149" s="16"/>
      <c r="AG149" s="101">
        <v>0.5</v>
      </c>
      <c r="AH149" s="18">
        <f>AG149*'Factors &amp; Percentages'!$E$31</f>
        <v>6549.9230443777469</v>
      </c>
      <c r="AI149" s="18"/>
      <c r="AJ149" s="18">
        <v>5671</v>
      </c>
      <c r="AK149" s="18">
        <f>AJ149*'Factors &amp; Percentages'!$E$34</f>
        <v>11865.830608209353</v>
      </c>
      <c r="AL149" s="18"/>
      <c r="AM149" s="30">
        <v>45</v>
      </c>
      <c r="AN149" s="30">
        <v>45</v>
      </c>
      <c r="AO149" s="30">
        <v>146</v>
      </c>
      <c r="AP149" s="116">
        <v>143</v>
      </c>
      <c r="AQ149" s="115">
        <v>7729</v>
      </c>
      <c r="AR149" s="115">
        <f t="shared" si="23"/>
        <v>7729</v>
      </c>
      <c r="AS149" s="18">
        <f>AN149*'Factors &amp; Percentages'!$E$37+AP149*'Factors &amp; Percentages'!$E$38+AR149*'Factors &amp; Percentages'!$E$39</f>
        <v>10521.625616530837</v>
      </c>
      <c r="AT149" s="18"/>
      <c r="AU149" s="18">
        <f t="shared" si="27"/>
        <v>35457.758583934665</v>
      </c>
      <c r="AV149" s="69">
        <f t="shared" si="28"/>
        <v>35457.758583934665</v>
      </c>
      <c r="AW149" s="46">
        <f>IF($BG149&gt;$AV149,$BG149*(1+'Factors &amp; Percentages'!$B$24),
IF($AU149&gt;$AV149,$AV149,
IF($AU149&gt;$BG149,$AU149,
$BG149*(1+'Factors &amp; Percentages'!$B$24))))</f>
        <v>35457.758583934665</v>
      </c>
      <c r="AX149" s="46">
        <f t="shared" si="24"/>
        <v>35457.758583934665</v>
      </c>
      <c r="AY149" s="69"/>
      <c r="AZ149" s="27"/>
      <c r="BA149" s="21">
        <v>32405.648123100189</v>
      </c>
      <c r="BB149" s="46">
        <f>31563-743</f>
        <v>30820</v>
      </c>
      <c r="BC149" s="119">
        <v>32958</v>
      </c>
      <c r="BD149" s="120">
        <v>33799.375</v>
      </c>
      <c r="BE149" s="120">
        <v>38306.87498427547</v>
      </c>
      <c r="BF149" s="69"/>
      <c r="BG149" s="73">
        <v>18000</v>
      </c>
      <c r="BH149" s="73">
        <v>28001</v>
      </c>
      <c r="BI149" s="117">
        <v>29400</v>
      </c>
      <c r="BJ149" s="118">
        <v>28000</v>
      </c>
      <c r="BK149" s="106">
        <v>32975</v>
      </c>
      <c r="BL149" s="106">
        <v>27000</v>
      </c>
      <c r="BM149" s="106">
        <v>34200</v>
      </c>
    </row>
    <row r="150" spans="1:65" x14ac:dyDescent="0.3">
      <c r="A150" s="121" t="s">
        <v>86</v>
      </c>
      <c r="B150" s="121" t="s">
        <v>86</v>
      </c>
      <c r="C150" s="174" t="s">
        <v>86</v>
      </c>
      <c r="D150" s="122" t="s">
        <v>279</v>
      </c>
      <c r="E150" s="173" t="s">
        <v>314</v>
      </c>
      <c r="F150" s="111"/>
      <c r="G150" s="185">
        <f t="shared" si="22"/>
        <v>21544.18604651163</v>
      </c>
      <c r="H150" s="186"/>
      <c r="I150" s="187">
        <v>35688</v>
      </c>
      <c r="J150" s="188">
        <v>26401</v>
      </c>
      <c r="K150" s="189">
        <v>29348</v>
      </c>
      <c r="L150" s="123">
        <v>24976</v>
      </c>
      <c r="M150" s="123">
        <v>17993</v>
      </c>
      <c r="N150" s="190">
        <v>45851</v>
      </c>
      <c r="O150" s="189">
        <v>20660</v>
      </c>
      <c r="P150" s="188">
        <v>19481</v>
      </c>
      <c r="Q150" s="208">
        <v>15385</v>
      </c>
      <c r="R150" s="123">
        <v>8793</v>
      </c>
      <c r="S150" s="188"/>
      <c r="T150" s="187">
        <v>3502</v>
      </c>
      <c r="U150" s="188">
        <v>3326</v>
      </c>
      <c r="V150" s="189">
        <v>3222</v>
      </c>
      <c r="W150" s="123">
        <v>3181</v>
      </c>
      <c r="X150" s="190">
        <v>0</v>
      </c>
      <c r="Y150" s="189">
        <v>1203</v>
      </c>
      <c r="Z150" s="188">
        <v>42</v>
      </c>
      <c r="AA150" s="123">
        <v>5</v>
      </c>
      <c r="AB150" s="191"/>
      <c r="AC150" s="204">
        <f t="shared" si="25"/>
        <v>35688</v>
      </c>
      <c r="AD150" s="205">
        <f t="shared" si="26"/>
        <v>46201.2</v>
      </c>
      <c r="AE150" s="204">
        <f>SUM(AC150*'Factors &amp; Percentages'!$E$27+AD150*'Factors &amp; Percentages'!$E$28)</f>
        <v>6342.4865007815515</v>
      </c>
      <c r="AF150" s="16"/>
      <c r="AG150" s="125">
        <v>0.1</v>
      </c>
      <c r="AH150" s="204">
        <f>AG150*'Factors &amp; Percentages'!$E$31</f>
        <v>1309.9846088755494</v>
      </c>
      <c r="AI150" s="18"/>
      <c r="AJ150" s="126">
        <v>6166</v>
      </c>
      <c r="AK150" s="204">
        <f>AJ150*'Factors &amp; Percentages'!$E$34</f>
        <v>12901.55378773036</v>
      </c>
      <c r="AL150" s="18"/>
      <c r="AM150" s="124">
        <v>30</v>
      </c>
      <c r="AN150" s="211">
        <v>30</v>
      </c>
      <c r="AO150" s="124">
        <v>44</v>
      </c>
      <c r="AP150" s="212">
        <v>43</v>
      </c>
      <c r="AQ150" s="135">
        <v>711</v>
      </c>
      <c r="AR150" s="179">
        <f t="shared" si="23"/>
        <v>711</v>
      </c>
      <c r="AS150" s="205">
        <f>AN150*'Factors &amp; Percentages'!$E$37+AP150*'Factors &amp; Percentages'!$E$38+AR150*'Factors &amp; Percentages'!$E$39</f>
        <v>4880.279654624097</v>
      </c>
      <c r="AT150" s="18"/>
      <c r="AU150" s="203">
        <f t="shared" si="27"/>
        <v>25434.304552011559</v>
      </c>
      <c r="AV150" s="213">
        <f t="shared" si="28"/>
        <v>25434.304552011559</v>
      </c>
      <c r="AW150" s="196">
        <f>IF($BG150&gt;$AV150,$BG150*(1+'Factors &amp; Percentages'!$B$24),
IF($AU150&gt;$AV150,$AV150,
IF($AU150&gt;$BG150,$AU150,
$BG150*(1+'Factors &amp; Percentages'!$B$24))))</f>
        <v>25434.304552011559</v>
      </c>
      <c r="AX150" s="185">
        <f t="shared" si="24"/>
        <v>21544.18604651163</v>
      </c>
      <c r="AY150" s="127"/>
      <c r="AZ150" s="27"/>
      <c r="BA150" s="223">
        <v>17160.650000000001</v>
      </c>
      <c r="BB150" s="185">
        <v>17785.600000000002</v>
      </c>
      <c r="BC150" s="204">
        <v>16234</v>
      </c>
      <c r="BD150" s="218">
        <v>13119.999999999998</v>
      </c>
      <c r="BE150" s="224">
        <v>18804.100000000002</v>
      </c>
      <c r="BF150" s="219"/>
      <c r="BG150" s="221">
        <v>6000</v>
      </c>
      <c r="BH150" s="226">
        <v>9000</v>
      </c>
      <c r="BI150" s="220">
        <v>13676</v>
      </c>
      <c r="BJ150" s="227">
        <v>11695</v>
      </c>
      <c r="BK150" s="221">
        <v>12800</v>
      </c>
      <c r="BL150" s="128">
        <v>10800</v>
      </c>
      <c r="BM150" s="128">
        <v>9517</v>
      </c>
    </row>
    <row r="151" spans="1:65" x14ac:dyDescent="0.3">
      <c r="A151" s="111" t="s">
        <v>192</v>
      </c>
      <c r="B151" s="111" t="s">
        <v>192</v>
      </c>
      <c r="C151" s="112" t="s">
        <v>192</v>
      </c>
      <c r="D151" s="113" t="s">
        <v>279</v>
      </c>
      <c r="E151" s="113" t="s">
        <v>279</v>
      </c>
      <c r="F151" s="111"/>
      <c r="G151" s="46">
        <f t="shared" si="22"/>
        <v>6494.8020722025776</v>
      </c>
      <c r="H151" s="111"/>
      <c r="I151" s="114">
        <v>9452</v>
      </c>
      <c r="J151" s="47">
        <v>9526</v>
      </c>
      <c r="K151" s="47">
        <v>11353</v>
      </c>
      <c r="L151" s="47">
        <v>7736</v>
      </c>
      <c r="M151" s="47">
        <v>4525</v>
      </c>
      <c r="N151" s="114">
        <v>11284</v>
      </c>
      <c r="O151" s="47">
        <v>8626</v>
      </c>
      <c r="P151" s="47">
        <v>6553</v>
      </c>
      <c r="Q151" s="115">
        <v>10738</v>
      </c>
      <c r="R151" s="47">
        <v>7795</v>
      </c>
      <c r="S151" s="47"/>
      <c r="T151" s="114">
        <v>6253</v>
      </c>
      <c r="U151" s="47">
        <v>7454</v>
      </c>
      <c r="V151" s="47">
        <v>10780</v>
      </c>
      <c r="W151" s="47">
        <v>10590</v>
      </c>
      <c r="X151" s="114">
        <v>644</v>
      </c>
      <c r="Y151" s="47">
        <v>874</v>
      </c>
      <c r="Z151" s="47">
        <v>14155</v>
      </c>
      <c r="AA151" s="47">
        <v>2004</v>
      </c>
      <c r="AB151" s="47"/>
      <c r="AC151" s="16">
        <f t="shared" si="25"/>
        <v>9516.4</v>
      </c>
      <c r="AD151" s="16">
        <f t="shared" si="26"/>
        <v>11909.3</v>
      </c>
      <c r="AE151" s="16">
        <f>SUM(AC151*'Factors &amp; Percentages'!$E$27+AD151*'Factors &amp; Percentages'!$E$28)</f>
        <v>1663.680204925688</v>
      </c>
      <c r="AF151" s="16"/>
      <c r="AG151" s="101">
        <v>0.25</v>
      </c>
      <c r="AH151" s="18">
        <f>AG151*'Factors &amp; Percentages'!$E$31</f>
        <v>3274.9615221888735</v>
      </c>
      <c r="AI151" s="18"/>
      <c r="AJ151" s="18">
        <v>3896</v>
      </c>
      <c r="AK151" s="18">
        <f>AJ151*'Factors &amp; Percentages'!$E$34</f>
        <v>8151.8737523511973</v>
      </c>
      <c r="AL151" s="18"/>
      <c r="AM151" s="30">
        <v>14</v>
      </c>
      <c r="AN151" s="30">
        <v>15</v>
      </c>
      <c r="AO151" s="30">
        <v>21</v>
      </c>
      <c r="AP151" s="116">
        <v>19</v>
      </c>
      <c r="AQ151" s="115">
        <v>467</v>
      </c>
      <c r="AR151" s="115">
        <f t="shared" si="23"/>
        <v>467</v>
      </c>
      <c r="AS151" s="18">
        <f>AN151*'Factors &amp; Percentages'!$E$37+AP151*'Factors &amp; Percentages'!$E$38+AR151*'Factors &amp; Percentages'!$E$39</f>
        <v>2404.286592736818</v>
      </c>
      <c r="AT151" s="18"/>
      <c r="AU151" s="18">
        <f t="shared" si="27"/>
        <v>15494.802072202578</v>
      </c>
      <c r="AV151" s="69">
        <f>IF($N151&gt;($J151+$K151+$I151)/3,$AU151,MIN(AU151,$I151*0.65))-9000</f>
        <v>6494.8020722025776</v>
      </c>
      <c r="AW151" s="46">
        <f>IF($BG151&gt;$AV151,$BG151*(1+'Factors &amp; Percentages'!$B$24),
IF($AU151&gt;$AV151,$AV151,
IF($AU151&gt;$BG151,$AU151,
$BG151*(1+'Factors &amp; Percentages'!$B$24))))</f>
        <v>6494.8020722025776</v>
      </c>
      <c r="AX151" s="46">
        <f t="shared" si="24"/>
        <v>6494.8020722025776</v>
      </c>
      <c r="AY151" s="69"/>
      <c r="AZ151" s="27"/>
      <c r="BA151" s="21">
        <v>6191.9000000000005</v>
      </c>
      <c r="BB151" s="46">
        <v>7379.45</v>
      </c>
      <c r="BC151" s="119">
        <v>5028</v>
      </c>
      <c r="BD151" s="120">
        <v>2941.25</v>
      </c>
      <c r="BE151" s="120">
        <v>7456.75</v>
      </c>
      <c r="BF151" s="69"/>
      <c r="BG151" s="73">
        <v>1852</v>
      </c>
      <c r="BH151" s="73">
        <v>1764</v>
      </c>
      <c r="BI151" s="117">
        <v>1680</v>
      </c>
      <c r="BJ151" s="118">
        <v>1680</v>
      </c>
      <c r="BK151" s="106">
        <v>360</v>
      </c>
      <c r="BL151" s="106">
        <v>3300</v>
      </c>
      <c r="BM151" s="106">
        <v>3300</v>
      </c>
    </row>
    <row r="152" spans="1:65" x14ac:dyDescent="0.3">
      <c r="A152" s="121" t="s">
        <v>440</v>
      </c>
      <c r="B152" s="121" t="s">
        <v>440</v>
      </c>
      <c r="C152" s="174" t="s">
        <v>121</v>
      </c>
      <c r="D152" s="122" t="s">
        <v>302</v>
      </c>
      <c r="E152" s="173" t="s">
        <v>112</v>
      </c>
      <c r="F152" s="111"/>
      <c r="G152" s="185">
        <f t="shared" si="22"/>
        <v>32078.713043255895</v>
      </c>
      <c r="H152" s="186"/>
      <c r="I152" s="187">
        <v>65250</v>
      </c>
      <c r="J152" s="188">
        <v>58774</v>
      </c>
      <c r="K152" s="189">
        <v>55133</v>
      </c>
      <c r="L152" s="123">
        <v>64113</v>
      </c>
      <c r="M152" s="123">
        <v>48893</v>
      </c>
      <c r="N152" s="190">
        <v>32420</v>
      </c>
      <c r="O152" s="189">
        <v>23634</v>
      </c>
      <c r="P152" s="188">
        <v>36949</v>
      </c>
      <c r="Q152" s="208">
        <v>34131</v>
      </c>
      <c r="R152" s="123">
        <v>6331</v>
      </c>
      <c r="S152" s="188"/>
      <c r="T152" s="187">
        <v>37063</v>
      </c>
      <c r="U152" s="188">
        <v>9169</v>
      </c>
      <c r="V152" s="189">
        <v>0</v>
      </c>
      <c r="W152" s="123">
        <v>6672</v>
      </c>
      <c r="X152" s="190">
        <v>0</v>
      </c>
      <c r="Y152" s="189">
        <v>20279</v>
      </c>
      <c r="Z152" s="188">
        <v>428</v>
      </c>
      <c r="AA152" s="123">
        <v>0</v>
      </c>
      <c r="AB152" s="191"/>
      <c r="AC152" s="204">
        <f t="shared" si="25"/>
        <v>65250</v>
      </c>
      <c r="AD152" s="205">
        <f t="shared" si="26"/>
        <v>36126.300000000003</v>
      </c>
      <c r="AE152" s="204">
        <f>SUM(AC152*'Factors &amp; Percentages'!$E$27+AD152*'Factors &amp; Percentages'!$E$28)</f>
        <v>8348.3028567353649</v>
      </c>
      <c r="AF152" s="16"/>
      <c r="AG152" s="125">
        <v>0.8</v>
      </c>
      <c r="AH152" s="204">
        <f>AG152*'Factors &amp; Percentages'!$E$31</f>
        <v>10479.876871004395</v>
      </c>
      <c r="AI152" s="18"/>
      <c r="AJ152" s="126">
        <v>547</v>
      </c>
      <c r="AK152" s="204">
        <f>AJ152*'Factors &amp; Percentages'!$E$34</f>
        <v>1144.5264226222034</v>
      </c>
      <c r="AL152" s="18"/>
      <c r="AM152" s="124">
        <v>55</v>
      </c>
      <c r="AN152" s="211">
        <v>66</v>
      </c>
      <c r="AO152" s="124">
        <v>69</v>
      </c>
      <c r="AP152" s="212">
        <v>75</v>
      </c>
      <c r="AQ152" s="135">
        <v>10521</v>
      </c>
      <c r="AR152" s="179">
        <f t="shared" si="23"/>
        <v>10521</v>
      </c>
      <c r="AS152" s="205">
        <f>AN152*'Factors &amp; Percentages'!$E$37+AP152*'Factors &amp; Percentages'!$E$38+AR152*'Factors &amp; Percentages'!$E$39</f>
        <v>12106.006892893933</v>
      </c>
      <c r="AT152" s="18"/>
      <c r="AU152" s="203">
        <f t="shared" si="27"/>
        <v>32078.713043255895</v>
      </c>
      <c r="AV152" s="213">
        <f t="shared" ref="AV152:AV183" si="29">IF($N152&gt;($J152+$K152+$I152)/3,$AU152,MIN(AU152,$I152*0.65))</f>
        <v>32078.713043255895</v>
      </c>
      <c r="AW152" s="196">
        <f>IF($BG152&gt;$AV152,$BG152*(1+'Factors &amp; Percentages'!$B$24),
IF($AU152&gt;$AV152,$AV152,
IF($AU152&gt;$BG152,$AU152,
$BG152*(1+'Factors &amp; Percentages'!$B$24))))</f>
        <v>32078.713043255895</v>
      </c>
      <c r="AX152" s="185">
        <f t="shared" si="24"/>
        <v>32078.713043255895</v>
      </c>
      <c r="AY152" s="127"/>
      <c r="AZ152" s="27"/>
      <c r="BA152" s="223">
        <v>26923.305885578753</v>
      </c>
      <c r="BB152" s="185">
        <v>25548</v>
      </c>
      <c r="BC152" s="204">
        <v>38586</v>
      </c>
      <c r="BD152" s="218">
        <v>30096.159642227911</v>
      </c>
      <c r="BE152" s="224">
        <v>27118.504190912838</v>
      </c>
      <c r="BF152" s="219"/>
      <c r="BG152" s="221">
        <v>25200</v>
      </c>
      <c r="BH152" s="226">
        <v>24000</v>
      </c>
      <c r="BI152" s="220">
        <v>22400</v>
      </c>
      <c r="BJ152" s="227">
        <v>20900</v>
      </c>
      <c r="BK152" s="221">
        <v>13560</v>
      </c>
      <c r="BL152" s="132">
        <v>24889</v>
      </c>
      <c r="BM152" s="132">
        <v>23704</v>
      </c>
    </row>
    <row r="153" spans="1:65" x14ac:dyDescent="0.3">
      <c r="A153" s="111" t="s">
        <v>441</v>
      </c>
      <c r="B153" s="111" t="s">
        <v>442</v>
      </c>
      <c r="C153" s="112" t="s">
        <v>120</v>
      </c>
      <c r="D153" s="113" t="s">
        <v>302</v>
      </c>
      <c r="E153" s="113" t="s">
        <v>112</v>
      </c>
      <c r="F153" s="111"/>
      <c r="G153" s="46">
        <f t="shared" si="22"/>
        <v>28456.176639252408</v>
      </c>
      <c r="H153" s="111"/>
      <c r="I153" s="114">
        <v>9866</v>
      </c>
      <c r="J153" s="47">
        <v>13020</v>
      </c>
      <c r="K153" s="47">
        <v>20600</v>
      </c>
      <c r="L153" s="47">
        <v>7411</v>
      </c>
      <c r="M153" s="47">
        <v>9967</v>
      </c>
      <c r="N153" s="114">
        <v>29953</v>
      </c>
      <c r="O153" s="47">
        <v>36799</v>
      </c>
      <c r="P153" s="47">
        <v>40342</v>
      </c>
      <c r="Q153" s="115">
        <v>12505</v>
      </c>
      <c r="R153" s="47">
        <v>12249</v>
      </c>
      <c r="S153" s="47"/>
      <c r="T153" s="114">
        <v>0</v>
      </c>
      <c r="U153" s="47">
        <v>0</v>
      </c>
      <c r="V153" s="47">
        <v>0</v>
      </c>
      <c r="W153" s="47">
        <v>0</v>
      </c>
      <c r="X153" s="114">
        <v>0</v>
      </c>
      <c r="Y153" s="47">
        <v>0</v>
      </c>
      <c r="Z153" s="47">
        <v>0</v>
      </c>
      <c r="AA153" s="47">
        <v>0</v>
      </c>
      <c r="AB153" s="47"/>
      <c r="AC153" s="16">
        <f t="shared" si="25"/>
        <v>9866</v>
      </c>
      <c r="AD153" s="16">
        <f t="shared" si="26"/>
        <v>29953</v>
      </c>
      <c r="AE153" s="16">
        <f>SUM(AC153*'Factors &amp; Percentages'!$E$27+AD153*'Factors &amp; Percentages'!$E$28)</f>
        <v>2907.6209894669641</v>
      </c>
      <c r="AF153" s="16"/>
      <c r="AG153" s="101">
        <v>0.2</v>
      </c>
      <c r="AH153" s="18">
        <f>AG153*'Factors &amp; Percentages'!$E$31</f>
        <v>2619.9692177510988</v>
      </c>
      <c r="AI153" s="18"/>
      <c r="AJ153" s="18">
        <v>10052</v>
      </c>
      <c r="AK153" s="18">
        <f>AJ153*'Factors &amp; Percentages'!$E$34</f>
        <v>21032.503839485173</v>
      </c>
      <c r="AL153" s="18"/>
      <c r="AM153" s="30">
        <v>16</v>
      </c>
      <c r="AN153" s="30">
        <v>14</v>
      </c>
      <c r="AO153" s="30">
        <v>55</v>
      </c>
      <c r="AP153" s="116">
        <v>54</v>
      </c>
      <c r="AQ153" s="115">
        <v>2532</v>
      </c>
      <c r="AR153" s="115">
        <f t="shared" si="23"/>
        <v>2532</v>
      </c>
      <c r="AS153" s="18">
        <f>AN153*'Factors &amp; Percentages'!$E$37+AP153*'Factors &amp; Percentages'!$E$38+AR153*'Factors &amp; Percentages'!$E$39</f>
        <v>3522.4370298536574</v>
      </c>
      <c r="AT153" s="18"/>
      <c r="AU153" s="18">
        <f t="shared" si="27"/>
        <v>30082.53107655689</v>
      </c>
      <c r="AV153" s="69">
        <f t="shared" si="29"/>
        <v>30082.53107655689</v>
      </c>
      <c r="AW153" s="46">
        <f>IF($BG153&gt;$AV153,$BG153*(1+'Factors &amp; Percentages'!$B$24),
IF($AU153&gt;$AV153,$AV153,
IF($AU153&gt;$BG153,$AU153,
$BG153*(1+'Factors &amp; Percentages'!$B$24))))</f>
        <v>30082.53107655689</v>
      </c>
      <c r="AX153" s="46">
        <f>+BA153</f>
        <v>28456.176639252408</v>
      </c>
      <c r="AY153" s="69"/>
      <c r="AZ153" s="27"/>
      <c r="BA153" s="21">
        <v>28456.176639252408</v>
      </c>
      <c r="BB153" s="46">
        <v>28349</v>
      </c>
      <c r="BC153" s="119">
        <v>6803</v>
      </c>
      <c r="BD153" s="120">
        <v>6478.55</v>
      </c>
      <c r="BE153" s="120">
        <v>5416.3</v>
      </c>
      <c r="BF153" s="69"/>
      <c r="BG153" s="73">
        <v>7500</v>
      </c>
      <c r="BH153" s="73">
        <v>7143</v>
      </c>
      <c r="BI153" s="117">
        <v>6803</v>
      </c>
      <c r="BJ153" s="118">
        <v>6479</v>
      </c>
      <c r="BK153" s="106">
        <v>5416</v>
      </c>
      <c r="BL153" s="106">
        <v>3010</v>
      </c>
      <c r="BM153" s="106">
        <v>2867</v>
      </c>
    </row>
    <row r="154" spans="1:65" x14ac:dyDescent="0.3">
      <c r="A154" s="121" t="s">
        <v>156</v>
      </c>
      <c r="B154" s="121" t="s">
        <v>156</v>
      </c>
      <c r="C154" s="174" t="s">
        <v>156</v>
      </c>
      <c r="D154" s="122" t="s">
        <v>279</v>
      </c>
      <c r="E154" s="173" t="s">
        <v>145</v>
      </c>
      <c r="F154" s="111"/>
      <c r="G154" s="185">
        <f t="shared" ref="G154:G185" si="30">+AX154</f>
        <v>29634.064563696131</v>
      </c>
      <c r="H154" s="186"/>
      <c r="I154" s="187">
        <v>40645</v>
      </c>
      <c r="J154" s="188">
        <v>34670</v>
      </c>
      <c r="K154" s="189">
        <v>36701</v>
      </c>
      <c r="L154" s="123">
        <v>24064</v>
      </c>
      <c r="M154" s="123">
        <v>27893</v>
      </c>
      <c r="N154" s="190">
        <v>92784</v>
      </c>
      <c r="O154" s="189">
        <v>16027</v>
      </c>
      <c r="P154" s="188">
        <v>13635</v>
      </c>
      <c r="Q154" s="208">
        <v>13071</v>
      </c>
      <c r="R154" s="123">
        <v>71114</v>
      </c>
      <c r="S154" s="188"/>
      <c r="T154" s="187">
        <v>15376</v>
      </c>
      <c r="U154" s="188">
        <v>25277</v>
      </c>
      <c r="V154" s="189">
        <v>52489</v>
      </c>
      <c r="W154" s="123">
        <v>55058</v>
      </c>
      <c r="X154" s="190">
        <v>1041</v>
      </c>
      <c r="Y154" s="189">
        <v>5796</v>
      </c>
      <c r="Z154" s="188">
        <v>349</v>
      </c>
      <c r="AA154" s="123">
        <v>3867</v>
      </c>
      <c r="AB154" s="191"/>
      <c r="AC154" s="204">
        <f t="shared" si="25"/>
        <v>40749.1</v>
      </c>
      <c r="AD154" s="205">
        <f t="shared" si="26"/>
        <v>94321.600000000006</v>
      </c>
      <c r="AE154" s="204">
        <f>SUM(AC154*'Factors &amp; Percentages'!$E$27+AD154*'Factors &amp; Percentages'!$E$28)</f>
        <v>10034.601988246563</v>
      </c>
      <c r="AF154" s="16"/>
      <c r="AG154" s="125">
        <v>0.5</v>
      </c>
      <c r="AH154" s="204">
        <f>AG154*'Factors &amp; Percentages'!$E$31</f>
        <v>6549.9230443777469</v>
      </c>
      <c r="AI154" s="18"/>
      <c r="AJ154" s="126">
        <v>3226</v>
      </c>
      <c r="AK154" s="204">
        <f>AJ154*'Factors &amp; Percentages'!$E$34</f>
        <v>6749.985812393471</v>
      </c>
      <c r="AL154" s="18"/>
      <c r="AM154" s="124">
        <v>24</v>
      </c>
      <c r="AN154" s="211">
        <v>36</v>
      </c>
      <c r="AO154" s="124">
        <v>93</v>
      </c>
      <c r="AP154" s="212">
        <v>0</v>
      </c>
      <c r="AQ154" s="135">
        <v>8949</v>
      </c>
      <c r="AR154" s="179">
        <f t="shared" si="23"/>
        <v>8949</v>
      </c>
      <c r="AS154" s="205">
        <f>AN154*'Factors &amp; Percentages'!$E$37+AP154*'Factors &amp; Percentages'!$E$38+AR154*'Factors &amp; Percentages'!$E$39</f>
        <v>6299.5537186783486</v>
      </c>
      <c r="AT154" s="18"/>
      <c r="AU154" s="203">
        <f t="shared" si="27"/>
        <v>29634.064563696131</v>
      </c>
      <c r="AV154" s="213">
        <f t="shared" si="29"/>
        <v>29634.064563696131</v>
      </c>
      <c r="AW154" s="196">
        <f>IF($BG154&gt;$AV154,$BG154*(1+'Factors &amp; Percentages'!$B$24),
IF($AU154&gt;$AV154,$AV154,
IF($AU154&gt;$BG154,$AU154,
$BG154*(1+'Factors &amp; Percentages'!$B$24))))</f>
        <v>29634.064563696131</v>
      </c>
      <c r="AX154" s="185">
        <f t="shared" si="24"/>
        <v>29634.064563696131</v>
      </c>
      <c r="AY154" s="127"/>
      <c r="AZ154" s="27"/>
      <c r="BA154" s="223">
        <v>22535.5</v>
      </c>
      <c r="BB154" s="185">
        <v>21433</v>
      </c>
      <c r="BC154" s="204">
        <v>15642</v>
      </c>
      <c r="BD154" s="218">
        <v>18130.45</v>
      </c>
      <c r="BE154" s="224">
        <v>27143.124754066132</v>
      </c>
      <c r="BF154" s="219"/>
      <c r="BG154" s="221">
        <v>18500</v>
      </c>
      <c r="BH154" s="226">
        <v>18500</v>
      </c>
      <c r="BI154" s="220">
        <v>15642</v>
      </c>
      <c r="BJ154" s="227">
        <v>15000</v>
      </c>
      <c r="BK154" s="221">
        <v>17500</v>
      </c>
      <c r="BL154" s="128">
        <v>21420</v>
      </c>
      <c r="BM154" s="128">
        <v>21000</v>
      </c>
    </row>
    <row r="155" spans="1:65" x14ac:dyDescent="0.3">
      <c r="A155" s="111"/>
      <c r="B155" s="111"/>
      <c r="C155" s="112" t="s">
        <v>106</v>
      </c>
      <c r="D155" s="113" t="s">
        <v>295</v>
      </c>
      <c r="E155" s="113" t="s">
        <v>88</v>
      </c>
      <c r="F155" s="111"/>
      <c r="G155" s="46">
        <f t="shared" si="30"/>
        <v>15320.970144701885</v>
      </c>
      <c r="H155" s="111"/>
      <c r="I155" s="114">
        <v>14826</v>
      </c>
      <c r="J155" s="47">
        <v>13897</v>
      </c>
      <c r="K155" s="47">
        <v>14960</v>
      </c>
      <c r="L155" s="47">
        <v>12909</v>
      </c>
      <c r="M155" s="47">
        <v>9101</v>
      </c>
      <c r="N155" s="114">
        <v>24044</v>
      </c>
      <c r="O155" s="47">
        <v>24686</v>
      </c>
      <c r="P155" s="47">
        <v>26189</v>
      </c>
      <c r="Q155" s="115">
        <v>22283</v>
      </c>
      <c r="R155" s="47">
        <v>34482</v>
      </c>
      <c r="S155" s="47"/>
      <c r="T155" s="114">
        <v>1395</v>
      </c>
      <c r="U155" s="47">
        <v>1384</v>
      </c>
      <c r="V155" s="47">
        <v>1366</v>
      </c>
      <c r="W155" s="47">
        <v>1366</v>
      </c>
      <c r="X155" s="114">
        <v>11</v>
      </c>
      <c r="Y155" s="47">
        <v>234</v>
      </c>
      <c r="Z155" s="47">
        <v>0</v>
      </c>
      <c r="AA155" s="47">
        <v>0</v>
      </c>
      <c r="AB155" s="47"/>
      <c r="AC155" s="16">
        <f t="shared" si="25"/>
        <v>14827.1</v>
      </c>
      <c r="AD155" s="16">
        <f t="shared" si="26"/>
        <v>24183.5</v>
      </c>
      <c r="AE155" s="16">
        <f>SUM(AC155*'Factors &amp; Percentages'!$E$27+AD155*'Factors &amp; Percentages'!$E$28)</f>
        <v>2970.2194664696758</v>
      </c>
      <c r="AF155" s="16"/>
      <c r="AG155" s="101">
        <v>0.25</v>
      </c>
      <c r="AH155" s="18">
        <f>AG155*'Factors &amp; Percentages'!$E$31</f>
        <v>3274.9615221888735</v>
      </c>
      <c r="AI155" s="18"/>
      <c r="AJ155" s="18">
        <f>+AJ156</f>
        <v>2447</v>
      </c>
      <c r="AK155" s="18">
        <f>AJ155*'Factors &amp; Percentages'!$E$34</f>
        <v>5120.0295359351594</v>
      </c>
      <c r="AL155" s="18"/>
      <c r="AM155" s="30">
        <v>15</v>
      </c>
      <c r="AN155" s="30">
        <v>15</v>
      </c>
      <c r="AO155" s="30">
        <v>44</v>
      </c>
      <c r="AP155" s="116">
        <v>44</v>
      </c>
      <c r="AQ155" s="115">
        <v>5194</v>
      </c>
      <c r="AR155" s="115">
        <f t="shared" si="23"/>
        <v>5194</v>
      </c>
      <c r="AS155" s="18">
        <f>AN155*'Factors &amp; Percentages'!$E$37+AP155*'Factors &amp; Percentages'!$E$38+AR155*'Factors &amp; Percentages'!$E$39</f>
        <v>3955.7596201081751</v>
      </c>
      <c r="AT155" s="18"/>
      <c r="AU155" s="18">
        <f t="shared" si="27"/>
        <v>15320.970144701885</v>
      </c>
      <c r="AV155" s="69">
        <f t="shared" si="29"/>
        <v>15320.970144701885</v>
      </c>
      <c r="AW155" s="46">
        <f>IF($BG155&gt;$AV155,$BG155*(1+'Factors &amp; Percentages'!$B$24),
IF($AU155&gt;$AV155,$AV155,
IF($AU155&gt;$BG155,$AU155,
$BG155*(1+'Factors &amp; Percentages'!$B$24))))</f>
        <v>15320.970144701885</v>
      </c>
      <c r="AX155" s="46">
        <f t="shared" si="24"/>
        <v>15320.970144701885</v>
      </c>
      <c r="AY155" s="69"/>
      <c r="AZ155" s="27"/>
      <c r="BA155" s="21">
        <v>13938.89008033463</v>
      </c>
      <c r="BB155" s="46">
        <v>14603</v>
      </c>
      <c r="BC155" s="119">
        <v>8391</v>
      </c>
      <c r="BD155" s="120">
        <v>12299.999999999998</v>
      </c>
      <c r="BE155" s="120">
        <v>15713.249999999998</v>
      </c>
      <c r="BF155" s="69"/>
      <c r="BG155" s="73">
        <v>1200</v>
      </c>
      <c r="BH155" s="73">
        <v>1200</v>
      </c>
      <c r="BI155" s="117">
        <v>3600</v>
      </c>
      <c r="BJ155" s="118">
        <v>6000</v>
      </c>
      <c r="BK155" s="106">
        <v>12000</v>
      </c>
      <c r="BL155" s="106">
        <v>15330</v>
      </c>
      <c r="BM155" s="106">
        <v>15030</v>
      </c>
    </row>
    <row r="156" spans="1:65" x14ac:dyDescent="0.3">
      <c r="A156" s="121" t="s">
        <v>443</v>
      </c>
      <c r="B156" s="121" t="s">
        <v>443</v>
      </c>
      <c r="C156" s="174" t="s">
        <v>107</v>
      </c>
      <c r="D156" s="122" t="s">
        <v>295</v>
      </c>
      <c r="E156" s="173" t="s">
        <v>295</v>
      </c>
      <c r="F156" s="111"/>
      <c r="G156" s="185">
        <f t="shared" si="30"/>
        <v>16854.024760210388</v>
      </c>
      <c r="H156" s="186"/>
      <c r="I156" s="187">
        <v>32869</v>
      </c>
      <c r="J156" s="188">
        <v>25040</v>
      </c>
      <c r="K156" s="189">
        <v>31103</v>
      </c>
      <c r="L156" s="123">
        <v>22031</v>
      </c>
      <c r="M156" s="123">
        <v>17499</v>
      </c>
      <c r="N156" s="190">
        <v>26151</v>
      </c>
      <c r="O156" s="189">
        <v>37545</v>
      </c>
      <c r="P156" s="188">
        <v>34576</v>
      </c>
      <c r="Q156" s="208">
        <v>31973</v>
      </c>
      <c r="R156" s="123">
        <v>28860</v>
      </c>
      <c r="S156" s="188"/>
      <c r="T156" s="187">
        <v>14515</v>
      </c>
      <c r="U156" s="188">
        <v>6314</v>
      </c>
      <c r="V156" s="189">
        <v>19188</v>
      </c>
      <c r="W156" s="123">
        <v>18082</v>
      </c>
      <c r="X156" s="190">
        <v>151</v>
      </c>
      <c r="Y156" s="189">
        <v>56</v>
      </c>
      <c r="Z156" s="188">
        <v>49</v>
      </c>
      <c r="AA156" s="123">
        <v>1401</v>
      </c>
      <c r="AB156" s="191"/>
      <c r="AC156" s="204">
        <f t="shared" si="25"/>
        <v>32884.1</v>
      </c>
      <c r="AD156" s="205">
        <f t="shared" si="26"/>
        <v>27602.5</v>
      </c>
      <c r="AE156" s="204">
        <f>SUM(AC156*'Factors &amp; Percentages'!$E$27+AD156*'Factors &amp; Percentages'!$E$28)</f>
        <v>4838.5386050787511</v>
      </c>
      <c r="AF156" s="16"/>
      <c r="AG156" s="125">
        <v>0.25</v>
      </c>
      <c r="AH156" s="204">
        <f>AG156*'Factors &amp; Percentages'!$E$31</f>
        <v>3274.9615221888735</v>
      </c>
      <c r="AI156" s="18"/>
      <c r="AJ156" s="126">
        <v>2447</v>
      </c>
      <c r="AK156" s="204">
        <f>AJ156*'Factors &amp; Percentages'!$E$34</f>
        <v>5120.0295359351594</v>
      </c>
      <c r="AL156" s="18"/>
      <c r="AM156" s="129">
        <v>15</v>
      </c>
      <c r="AN156" s="211">
        <v>14</v>
      </c>
      <c r="AO156" s="129">
        <v>44</v>
      </c>
      <c r="AP156" s="212">
        <v>35</v>
      </c>
      <c r="AQ156" s="135">
        <v>5194</v>
      </c>
      <c r="AR156" s="179">
        <f t="shared" si="23"/>
        <v>5194</v>
      </c>
      <c r="AS156" s="205">
        <f>AN156*'Factors &amp; Percentages'!$E$37+AP156*'Factors &amp; Percentages'!$E$38+AR156*'Factors &amp; Percentages'!$E$39</f>
        <v>3620.4950970076052</v>
      </c>
      <c r="AT156" s="18"/>
      <c r="AU156" s="203">
        <f t="shared" si="27"/>
        <v>16854.024760210388</v>
      </c>
      <c r="AV156" s="213">
        <f t="shared" si="29"/>
        <v>16854.024760210388</v>
      </c>
      <c r="AW156" s="196">
        <f>IF($BG156&gt;$AV156,$BG156*(1+'Factors &amp; Percentages'!$B$24),
IF($AU156&gt;$AV156,$AV156,
IF($AU156&gt;$BG156,$AU156,
$BG156*(1+'Factors &amp; Percentages'!$B$24))))</f>
        <v>16854.024760210388</v>
      </c>
      <c r="AX156" s="185">
        <f t="shared" si="24"/>
        <v>16854.024760210388</v>
      </c>
      <c r="AY156" s="127"/>
      <c r="AZ156" s="27"/>
      <c r="BA156" s="223">
        <v>15681.863266775403</v>
      </c>
      <c r="BB156" s="185">
        <v>14801</v>
      </c>
      <c r="BC156" s="204">
        <v>14320</v>
      </c>
      <c r="BD156" s="218">
        <v>15374.999999999998</v>
      </c>
      <c r="BE156" s="224">
        <v>19116.599158199933</v>
      </c>
      <c r="BF156" s="219"/>
      <c r="BG156" s="221">
        <v>14000</v>
      </c>
      <c r="BH156" s="226">
        <v>13000</v>
      </c>
      <c r="BI156" s="220">
        <v>7500</v>
      </c>
      <c r="BJ156" s="227">
        <v>6000</v>
      </c>
      <c r="BK156" s="221">
        <v>15000</v>
      </c>
      <c r="BL156" s="128">
        <v>15800</v>
      </c>
      <c r="BM156" s="128">
        <v>15490</v>
      </c>
    </row>
    <row r="157" spans="1:65" x14ac:dyDescent="0.3">
      <c r="A157" s="111" t="s">
        <v>28</v>
      </c>
      <c r="B157" s="111" t="s">
        <v>28</v>
      </c>
      <c r="C157" s="112" t="s">
        <v>28</v>
      </c>
      <c r="D157" s="113" t="s">
        <v>279</v>
      </c>
      <c r="E157" s="113" t="s">
        <v>279</v>
      </c>
      <c r="F157" s="111"/>
      <c r="G157" s="46">
        <f t="shared" si="30"/>
        <v>28350</v>
      </c>
      <c r="H157" s="111"/>
      <c r="I157" s="114">
        <v>56673</v>
      </c>
      <c r="J157" s="47">
        <v>65218</v>
      </c>
      <c r="K157" s="47">
        <v>71330</v>
      </c>
      <c r="L157" s="47">
        <v>61675</v>
      </c>
      <c r="M157" s="47">
        <v>64088</v>
      </c>
      <c r="N157" s="114">
        <v>14436</v>
      </c>
      <c r="O157" s="47">
        <v>34059</v>
      </c>
      <c r="P157" s="47">
        <v>64666</v>
      </c>
      <c r="Q157" s="115">
        <v>61806</v>
      </c>
      <c r="R157" s="47">
        <v>36397</v>
      </c>
      <c r="S157" s="47"/>
      <c r="T157" s="114">
        <v>5461</v>
      </c>
      <c r="U157" s="47">
        <v>3023</v>
      </c>
      <c r="V157" s="47">
        <v>3836</v>
      </c>
      <c r="W157" s="47">
        <v>2506</v>
      </c>
      <c r="X157" s="114">
        <v>985</v>
      </c>
      <c r="Y157" s="47">
        <v>3960</v>
      </c>
      <c r="Z157" s="47">
        <v>732</v>
      </c>
      <c r="AA157" s="47">
        <v>89</v>
      </c>
      <c r="AB157" s="47"/>
      <c r="AC157" s="16">
        <f t="shared" si="25"/>
        <v>56771.5</v>
      </c>
      <c r="AD157" s="16">
        <f t="shared" si="26"/>
        <v>14982.1</v>
      </c>
      <c r="AE157" s="16">
        <f>SUM(AC157*'Factors &amp; Percentages'!$E$27+AD157*'Factors &amp; Percentages'!$E$28)</f>
        <v>6158.3882868449109</v>
      </c>
      <c r="AF157" s="16"/>
      <c r="AG157" s="101">
        <v>0.75</v>
      </c>
      <c r="AH157" s="18">
        <f>AG157*'Factors &amp; Percentages'!$E$31</f>
        <v>9824.8845665666195</v>
      </c>
      <c r="AI157" s="18"/>
      <c r="AJ157" s="18">
        <v>434</v>
      </c>
      <c r="AK157" s="18">
        <f>AJ157*'Factors &amp; Percentages'!$E$34</f>
        <v>908.08860588306459</v>
      </c>
      <c r="AL157" s="18"/>
      <c r="AM157" s="30">
        <v>35</v>
      </c>
      <c r="AN157" s="30">
        <v>35</v>
      </c>
      <c r="AO157" s="30">
        <v>68</v>
      </c>
      <c r="AP157" s="116">
        <v>66</v>
      </c>
      <c r="AQ157" s="115">
        <v>10296</v>
      </c>
      <c r="AR157" s="115">
        <f t="shared" si="23"/>
        <v>10296</v>
      </c>
      <c r="AS157" s="18">
        <f>AN157*'Factors &amp; Percentages'!$E$37+AP157*'Factors &amp; Percentages'!$E$38+AR157*'Factors &amp; Percentages'!$E$39</f>
        <v>7997.9960716153482</v>
      </c>
      <c r="AT157" s="18"/>
      <c r="AU157" s="18">
        <f t="shared" si="27"/>
        <v>24889.357530909943</v>
      </c>
      <c r="AV157" s="69">
        <f t="shared" si="29"/>
        <v>24889.357530909943</v>
      </c>
      <c r="AW157" s="46">
        <f>IF($BG157&gt;$AV157,$BG157*(1+'Factors &amp; Percentages'!$B$24),
IF($AU157&gt;$AV157,$AV157,
IF($AU157&gt;$BG157,$AU157,
$BG157*(1+'Factors &amp; Percentages'!$B$24))))</f>
        <v>28350</v>
      </c>
      <c r="AX157" s="46">
        <f t="shared" si="24"/>
        <v>28350</v>
      </c>
      <c r="AY157" s="69"/>
      <c r="AZ157" s="27"/>
      <c r="BA157" s="21">
        <v>31710</v>
      </c>
      <c r="BB157" s="46">
        <v>37800</v>
      </c>
      <c r="BC157" s="119">
        <v>36832</v>
      </c>
      <c r="BD157" s="120">
        <v>34498.424999999996</v>
      </c>
      <c r="BE157" s="120">
        <v>34498.424999999996</v>
      </c>
      <c r="BF157" s="69"/>
      <c r="BG157" s="73">
        <v>27000</v>
      </c>
      <c r="BH157" s="73">
        <v>30200</v>
      </c>
      <c r="BI157" s="117">
        <v>36000</v>
      </c>
      <c r="BJ157" s="118">
        <v>33657</v>
      </c>
      <c r="BK157" s="106">
        <v>33657</v>
      </c>
      <c r="BL157" s="106">
        <v>33657</v>
      </c>
      <c r="BM157" s="106">
        <v>32836</v>
      </c>
    </row>
    <row r="158" spans="1:65" x14ac:dyDescent="0.3">
      <c r="A158" s="121" t="s">
        <v>108</v>
      </c>
      <c r="B158" s="121" t="s">
        <v>108</v>
      </c>
      <c r="C158" s="174" t="s">
        <v>108</v>
      </c>
      <c r="D158" s="122" t="s">
        <v>295</v>
      </c>
      <c r="E158" s="173" t="s">
        <v>295</v>
      </c>
      <c r="F158" s="111"/>
      <c r="G158" s="185">
        <f t="shared" si="30"/>
        <v>32551.350000000002</v>
      </c>
      <c r="H158" s="186"/>
      <c r="I158" s="187">
        <v>50079</v>
      </c>
      <c r="J158" s="188">
        <v>50057</v>
      </c>
      <c r="K158" s="189">
        <v>49152</v>
      </c>
      <c r="L158" s="133">
        <v>43760</v>
      </c>
      <c r="M158" s="123">
        <v>47427</v>
      </c>
      <c r="N158" s="190">
        <v>46372</v>
      </c>
      <c r="O158" s="189">
        <v>44198</v>
      </c>
      <c r="P158" s="188">
        <v>46174</v>
      </c>
      <c r="Q158" s="208">
        <v>45913</v>
      </c>
      <c r="R158" s="123">
        <v>21528</v>
      </c>
      <c r="S158" s="188"/>
      <c r="T158" s="187">
        <v>9252</v>
      </c>
      <c r="U158" s="188">
        <v>3798</v>
      </c>
      <c r="V158" s="189">
        <v>4745</v>
      </c>
      <c r="W158" s="123">
        <v>28118</v>
      </c>
      <c r="X158" s="190">
        <v>4616</v>
      </c>
      <c r="Y158" s="189">
        <v>4604</v>
      </c>
      <c r="Z158" s="188">
        <v>1540</v>
      </c>
      <c r="AA158" s="123">
        <v>8988</v>
      </c>
      <c r="AB158" s="191"/>
      <c r="AC158" s="204">
        <f t="shared" si="25"/>
        <v>50540.6</v>
      </c>
      <c r="AD158" s="205">
        <f t="shared" si="26"/>
        <v>47297.2</v>
      </c>
      <c r="AE158" s="204">
        <f>SUM(AC158*'Factors &amp; Percentages'!$E$27+AD158*'Factors &amp; Percentages'!$E$28)</f>
        <v>7763.9508747041382</v>
      </c>
      <c r="AF158" s="16"/>
      <c r="AG158" s="125">
        <v>0.25</v>
      </c>
      <c r="AH158" s="204">
        <f>AG158*'Factors &amp; Percentages'!$E$31</f>
        <v>3274.9615221888735</v>
      </c>
      <c r="AI158" s="18"/>
      <c r="AJ158" s="126">
        <v>11888</v>
      </c>
      <c r="AK158" s="204">
        <f>AJ158*'Factors &amp; Percentages'!$E$34</f>
        <v>24874.095268981269</v>
      </c>
      <c r="AL158" s="18"/>
      <c r="AM158" s="129">
        <v>30</v>
      </c>
      <c r="AN158" s="211">
        <v>30</v>
      </c>
      <c r="AO158" s="124">
        <v>88</v>
      </c>
      <c r="AP158" s="212">
        <v>0</v>
      </c>
      <c r="AQ158" s="135">
        <v>2272</v>
      </c>
      <c r="AR158" s="179">
        <f t="shared" si="23"/>
        <v>2272</v>
      </c>
      <c r="AS158" s="205">
        <f>AN158*'Factors &amp; Percentages'!$E$37+AP158*'Factors &amp; Percentages'!$E$38+AR158*'Factors &amp; Percentages'!$E$39</f>
        <v>4190.7451984303598</v>
      </c>
      <c r="AT158" s="18"/>
      <c r="AU158" s="203">
        <f t="shared" si="27"/>
        <v>40103.752864304639</v>
      </c>
      <c r="AV158" s="213">
        <f t="shared" si="29"/>
        <v>32551.350000000002</v>
      </c>
      <c r="AW158" s="196">
        <f>IF($BG158&gt;$AV158,$BG158*(1+'Factors &amp; Percentages'!$B$24),
IF($AU158&gt;$AV158,$AV158,
IF($AU158&gt;$BG158,$AU158,
$BG158*(1+'Factors &amp; Percentages'!$B$24))))</f>
        <v>32551.350000000002</v>
      </c>
      <c r="AX158" s="185">
        <f t="shared" si="24"/>
        <v>32551.350000000002</v>
      </c>
      <c r="AY158" s="127"/>
      <c r="AZ158" s="27"/>
      <c r="BA158" s="223">
        <v>32537.050000000003</v>
      </c>
      <c r="BB158" s="185">
        <v>31948.800000000003</v>
      </c>
      <c r="BC158" s="204">
        <v>34020</v>
      </c>
      <c r="BD158" s="218">
        <v>38873.125</v>
      </c>
      <c r="BE158" s="224">
        <v>37925</v>
      </c>
      <c r="BF158" s="219"/>
      <c r="BG158" s="221">
        <v>30000</v>
      </c>
      <c r="BH158" s="226">
        <v>30000</v>
      </c>
      <c r="BI158" s="220">
        <v>30000</v>
      </c>
      <c r="BJ158" s="227">
        <v>32400</v>
      </c>
      <c r="BK158" s="221">
        <v>37925</v>
      </c>
      <c r="BL158" s="128">
        <v>37000</v>
      </c>
      <c r="BM158" s="128">
        <v>38756</v>
      </c>
    </row>
    <row r="159" spans="1:65" x14ac:dyDescent="0.3">
      <c r="A159" s="111" t="s">
        <v>444</v>
      </c>
      <c r="B159" s="111" t="s">
        <v>444</v>
      </c>
      <c r="C159" s="112" t="s">
        <v>230</v>
      </c>
      <c r="D159" s="113" t="s">
        <v>302</v>
      </c>
      <c r="E159" s="113" t="s">
        <v>112</v>
      </c>
      <c r="F159" s="111"/>
      <c r="G159" s="46">
        <f t="shared" si="30"/>
        <v>14638.021229895916</v>
      </c>
      <c r="H159" s="111"/>
      <c r="I159" s="114">
        <v>30569</v>
      </c>
      <c r="J159" s="47">
        <v>30569</v>
      </c>
      <c r="K159" s="47">
        <v>30569</v>
      </c>
      <c r="L159" s="47">
        <v>33784</v>
      </c>
      <c r="M159" s="47">
        <v>39299</v>
      </c>
      <c r="N159" s="114">
        <v>34713</v>
      </c>
      <c r="O159" s="47">
        <v>34713</v>
      </c>
      <c r="P159" s="47">
        <v>34713</v>
      </c>
      <c r="Q159" s="115">
        <v>36809</v>
      </c>
      <c r="R159" s="47">
        <v>37908</v>
      </c>
      <c r="S159" s="47"/>
      <c r="T159" s="114">
        <v>195</v>
      </c>
      <c r="U159" s="47">
        <v>195</v>
      </c>
      <c r="V159" s="47">
        <v>195</v>
      </c>
      <c r="W159" s="47">
        <v>149</v>
      </c>
      <c r="X159" s="114">
        <v>46</v>
      </c>
      <c r="Y159" s="47">
        <v>46</v>
      </c>
      <c r="Z159" s="47">
        <v>46</v>
      </c>
      <c r="AA159" s="47">
        <v>1167</v>
      </c>
      <c r="AB159" s="47"/>
      <c r="AC159" s="16">
        <f t="shared" si="25"/>
        <v>30573.599999999999</v>
      </c>
      <c r="AD159" s="16">
        <f t="shared" si="26"/>
        <v>34732.5</v>
      </c>
      <c r="AE159" s="16">
        <f>SUM(AC159*'Factors &amp; Percentages'!$E$27+AD159*'Factors &amp; Percentages'!$E$28)</f>
        <v>5107.8761911342181</v>
      </c>
      <c r="AF159" s="16"/>
      <c r="AG159" s="101">
        <v>0.3</v>
      </c>
      <c r="AH159" s="18">
        <f>AG159*'Factors &amp; Percentages'!$E$31</f>
        <v>3929.9538266266482</v>
      </c>
      <c r="AI159" s="18"/>
      <c r="AJ159" s="18">
        <v>556</v>
      </c>
      <c r="AK159" s="18">
        <f>AJ159*'Factors &amp; Percentages'!$E$34</f>
        <v>1163.357753158949</v>
      </c>
      <c r="AL159" s="18"/>
      <c r="AM159" s="30">
        <v>18</v>
      </c>
      <c r="AN159" s="30">
        <v>18</v>
      </c>
      <c r="AO159" s="30">
        <v>51</v>
      </c>
      <c r="AP159" s="116">
        <v>51</v>
      </c>
      <c r="AQ159" s="115">
        <v>4921</v>
      </c>
      <c r="AR159" s="115">
        <f t="shared" si="23"/>
        <v>4921</v>
      </c>
      <c r="AS159" s="18">
        <f>AN159*'Factors &amp; Percentages'!$E$37+AP159*'Factors &amp; Percentages'!$E$38+AR159*'Factors &amp; Percentages'!$E$39</f>
        <v>4436.8334589761016</v>
      </c>
      <c r="AT159" s="18"/>
      <c r="AU159" s="18">
        <f t="shared" si="27"/>
        <v>14638.021229895916</v>
      </c>
      <c r="AV159" s="69">
        <f t="shared" si="29"/>
        <v>14638.021229895916</v>
      </c>
      <c r="AW159" s="46">
        <f>IF($BG159&gt;$AV159,$BG159*(1+'Factors &amp; Percentages'!$B$24),
IF($AU159&gt;$AV159,$AV159,
IF($AU159&gt;$BG159,$AU159,
$BG159*(1+'Factors &amp; Percentages'!$B$24))))</f>
        <v>14638.021229895916</v>
      </c>
      <c r="AX159" s="46">
        <f t="shared" si="24"/>
        <v>14638.021229895916</v>
      </c>
      <c r="AY159" s="69"/>
      <c r="AZ159" s="27"/>
      <c r="BA159" s="21">
        <v>13332.938967999344</v>
      </c>
      <c r="BB159" s="46">
        <v>12261</v>
      </c>
      <c r="BC159" s="119">
        <v>15750</v>
      </c>
      <c r="BD159" s="120">
        <v>19698.444538255029</v>
      </c>
      <c r="BE159" s="89">
        <v>20147.399999999998</v>
      </c>
      <c r="BF159" s="69"/>
      <c r="BG159" s="73">
        <v>12261</v>
      </c>
      <c r="BH159" s="73">
        <v>12261</v>
      </c>
      <c r="BI159" s="117">
        <v>12000</v>
      </c>
      <c r="BJ159" s="118">
        <v>18000</v>
      </c>
      <c r="BK159" s="106">
        <v>19200</v>
      </c>
      <c r="BL159" s="106">
        <v>19656</v>
      </c>
      <c r="BM159" s="106">
        <v>18900</v>
      </c>
    </row>
    <row r="160" spans="1:65" x14ac:dyDescent="0.3">
      <c r="A160" s="121" t="s">
        <v>445</v>
      </c>
      <c r="B160" s="121" t="s">
        <v>445</v>
      </c>
      <c r="C160" s="174" t="s">
        <v>87</v>
      </c>
      <c r="D160" s="122" t="s">
        <v>279</v>
      </c>
      <c r="E160" s="173" t="s">
        <v>314</v>
      </c>
      <c r="F160" s="111"/>
      <c r="G160" s="185">
        <f t="shared" si="30"/>
        <v>21544.18604651163</v>
      </c>
      <c r="H160" s="186"/>
      <c r="I160" s="187">
        <v>10513</v>
      </c>
      <c r="J160" s="188">
        <v>7725</v>
      </c>
      <c r="K160" s="189">
        <v>1839</v>
      </c>
      <c r="L160" s="123">
        <v>1101</v>
      </c>
      <c r="M160" s="123">
        <v>2687</v>
      </c>
      <c r="N160" s="190">
        <v>246471</v>
      </c>
      <c r="O160" s="189">
        <v>195646</v>
      </c>
      <c r="P160" s="188">
        <v>46814</v>
      </c>
      <c r="Q160" s="208">
        <v>47013</v>
      </c>
      <c r="R160" s="123">
        <v>47013</v>
      </c>
      <c r="S160" s="188"/>
      <c r="T160" s="187">
        <v>0</v>
      </c>
      <c r="U160" s="188">
        <v>0</v>
      </c>
      <c r="V160" s="189">
        <v>0</v>
      </c>
      <c r="W160" s="123">
        <v>0</v>
      </c>
      <c r="X160" s="190">
        <v>0</v>
      </c>
      <c r="Y160" s="189">
        <v>0</v>
      </c>
      <c r="Z160" s="188">
        <v>0</v>
      </c>
      <c r="AA160" s="123">
        <v>0</v>
      </c>
      <c r="AB160" s="191"/>
      <c r="AC160" s="204">
        <f t="shared" si="25"/>
        <v>10513</v>
      </c>
      <c r="AD160" s="205">
        <f t="shared" si="26"/>
        <v>246471</v>
      </c>
      <c r="AE160" s="204">
        <f>SUM(AC160*'Factors &amp; Percentages'!$E$27+AD160*'Factors &amp; Percentages'!$E$28)</f>
        <v>17512.491028110595</v>
      </c>
      <c r="AF160" s="16"/>
      <c r="AG160" s="125">
        <v>0.1</v>
      </c>
      <c r="AH160" s="204">
        <f>AG160*'Factors &amp; Percentages'!$E$31</f>
        <v>1309.9846088755494</v>
      </c>
      <c r="AI160" s="18"/>
      <c r="AJ160" s="126">
        <v>7855</v>
      </c>
      <c r="AK160" s="204">
        <f>AJ160*'Factors &amp; Percentages'!$E$34</f>
        <v>16435.566818459614</v>
      </c>
      <c r="AL160" s="18"/>
      <c r="AM160" s="124">
        <v>9</v>
      </c>
      <c r="AN160" s="211">
        <v>8</v>
      </c>
      <c r="AO160" s="124">
        <v>18</v>
      </c>
      <c r="AP160" s="212">
        <v>18</v>
      </c>
      <c r="AQ160" s="135">
        <v>150</v>
      </c>
      <c r="AR160" s="179">
        <f t="shared" si="23"/>
        <v>150</v>
      </c>
      <c r="AS160" s="205">
        <f>AN160*'Factors &amp; Percentages'!$E$37+AP160*'Factors &amp; Percentages'!$E$38+AR160*'Factors &amp; Percentages'!$E$39</f>
        <v>1446.519382791553</v>
      </c>
      <c r="AT160" s="18"/>
      <c r="AU160" s="203">
        <f t="shared" si="27"/>
        <v>36704.561838237307</v>
      </c>
      <c r="AV160" s="213">
        <f t="shared" si="29"/>
        <v>36704.561838237307</v>
      </c>
      <c r="AW160" s="196">
        <f>IF($BG160&gt;$AV160,$BG160*(1+'Factors &amp; Percentages'!$B$24),
IF($AU160&gt;$AV160,$AV160,
IF($AU160&gt;$BG160,$AU160,
$BG160*(1+'Factors &amp; Percentages'!$B$24))))</f>
        <v>36704.561838237307</v>
      </c>
      <c r="AX160" s="185">
        <f t="shared" si="24"/>
        <v>21544.18604651163</v>
      </c>
      <c r="AY160" s="127"/>
      <c r="AZ160" s="27"/>
      <c r="BA160" s="223">
        <v>18806.073723386136</v>
      </c>
      <c r="BB160" s="185">
        <v>17785.600000000002</v>
      </c>
      <c r="BC160" s="204">
        <v>2100</v>
      </c>
      <c r="BD160" s="218">
        <v>2050</v>
      </c>
      <c r="BE160" s="224">
        <v>2135.8000000000002</v>
      </c>
      <c r="BF160" s="219"/>
      <c r="BG160" s="221">
        <v>9000</v>
      </c>
      <c r="BH160" s="226">
        <v>9000</v>
      </c>
      <c r="BI160" s="220">
        <v>2000</v>
      </c>
      <c r="BJ160" s="227">
        <v>2000</v>
      </c>
      <c r="BK160" s="221">
        <v>2000</v>
      </c>
      <c r="BL160" s="128">
        <v>1920</v>
      </c>
      <c r="BM160" s="128">
        <v>1740</v>
      </c>
    </row>
    <row r="161" spans="1:65" x14ac:dyDescent="0.3">
      <c r="A161" s="111" t="s">
        <v>446</v>
      </c>
      <c r="B161" s="111" t="s">
        <v>122</v>
      </c>
      <c r="C161" s="112" t="s">
        <v>122</v>
      </c>
      <c r="D161" s="113" t="s">
        <v>302</v>
      </c>
      <c r="E161" s="113" t="s">
        <v>112</v>
      </c>
      <c r="F161" s="111"/>
      <c r="G161" s="46">
        <f t="shared" si="30"/>
        <v>15658.359190368501</v>
      </c>
      <c r="H161" s="111"/>
      <c r="I161" s="114">
        <v>26328</v>
      </c>
      <c r="J161" s="47">
        <v>26328</v>
      </c>
      <c r="K161" s="47">
        <v>26311</v>
      </c>
      <c r="L161" s="47">
        <v>19535</v>
      </c>
      <c r="M161" s="47">
        <v>22077</v>
      </c>
      <c r="N161" s="114">
        <v>25826</v>
      </c>
      <c r="O161" s="47">
        <v>25826</v>
      </c>
      <c r="P161" s="47">
        <v>20835</v>
      </c>
      <c r="Q161" s="115">
        <v>11709</v>
      </c>
      <c r="R161" s="47">
        <v>11906</v>
      </c>
      <c r="S161" s="47"/>
      <c r="T161" s="114">
        <v>4093</v>
      </c>
      <c r="U161" s="47">
        <v>4093</v>
      </c>
      <c r="V161" s="47">
        <v>25060</v>
      </c>
      <c r="W161" s="47">
        <v>24445</v>
      </c>
      <c r="X161" s="114">
        <v>7187</v>
      </c>
      <c r="Y161" s="47">
        <v>7187</v>
      </c>
      <c r="Z161" s="47">
        <v>3321</v>
      </c>
      <c r="AA161" s="47">
        <v>810</v>
      </c>
      <c r="AB161" s="47"/>
      <c r="AC161" s="16">
        <f t="shared" si="25"/>
        <v>27046.7</v>
      </c>
      <c r="AD161" s="16">
        <f t="shared" si="26"/>
        <v>26235.3</v>
      </c>
      <c r="AE161" s="16">
        <f>SUM(AC161*'Factors &amp; Percentages'!$E$27+AD161*'Factors &amp; Percentages'!$E$28)</f>
        <v>4216.9590694188491</v>
      </c>
      <c r="AF161" s="16"/>
      <c r="AG161" s="101">
        <v>0.4</v>
      </c>
      <c r="AH161" s="18">
        <f>AG161*'Factors &amp; Percentages'!$E$31</f>
        <v>5239.9384355021975</v>
      </c>
      <c r="AI161" s="18"/>
      <c r="AJ161" s="18">
        <v>1248</v>
      </c>
      <c r="AK161" s="18">
        <f>AJ161*'Factors &amp; Percentages'!$E$34</f>
        <v>2611.2778344287203</v>
      </c>
      <c r="AL161" s="18"/>
      <c r="AM161" s="137">
        <v>15</v>
      </c>
      <c r="AN161" s="30">
        <v>17</v>
      </c>
      <c r="AO161" s="30">
        <v>38</v>
      </c>
      <c r="AP161" s="116">
        <v>38</v>
      </c>
      <c r="AQ161" s="115">
        <v>2876</v>
      </c>
      <c r="AR161" s="115">
        <f t="shared" si="23"/>
        <v>2876</v>
      </c>
      <c r="AS161" s="18">
        <f>AN161*'Factors &amp; Percentages'!$E$37+AP161*'Factors &amp; Percentages'!$E$38+AR161*'Factors &amp; Percentages'!$E$39</f>
        <v>3590.1838510187363</v>
      </c>
      <c r="AT161" s="18"/>
      <c r="AU161" s="18">
        <f t="shared" si="27"/>
        <v>15658.359190368501</v>
      </c>
      <c r="AV161" s="69">
        <f t="shared" si="29"/>
        <v>15658.359190368501</v>
      </c>
      <c r="AW161" s="46">
        <f>IF($BG161&gt;$AV161,$BG161*(1+'Factors &amp; Percentages'!$B$24),
IF($AU161&gt;$AV161,$AV161,
IF($AU161&gt;$BG161,$AU161,
$BG161*(1+'Factors &amp; Percentages'!$B$24))))</f>
        <v>15658.359190368501</v>
      </c>
      <c r="AX161" s="46">
        <f t="shared" si="24"/>
        <v>15658.359190368501</v>
      </c>
      <c r="AY161" s="69"/>
      <c r="AZ161" s="27"/>
      <c r="BA161" s="21">
        <v>14040.247299235409</v>
      </c>
      <c r="BB161" s="46">
        <v>13206</v>
      </c>
      <c r="BC161" s="119">
        <v>12698</v>
      </c>
      <c r="BD161" s="120">
        <v>14350.050000000001</v>
      </c>
      <c r="BE161" s="120">
        <v>15031.612728649015</v>
      </c>
      <c r="BF161" s="69"/>
      <c r="BG161" s="73">
        <v>10000</v>
      </c>
      <c r="BH161" s="73">
        <v>10008</v>
      </c>
      <c r="BI161" s="117">
        <v>10000</v>
      </c>
      <c r="BJ161" s="118">
        <v>10008</v>
      </c>
      <c r="BK161" s="106">
        <v>10000</v>
      </c>
      <c r="BL161" s="106">
        <v>13115</v>
      </c>
      <c r="BM161" s="106">
        <v>12491</v>
      </c>
    </row>
    <row r="162" spans="1:65" x14ac:dyDescent="0.3">
      <c r="A162" s="121" t="s">
        <v>447</v>
      </c>
      <c r="B162" s="121" t="s">
        <v>448</v>
      </c>
      <c r="C162" s="174" t="s">
        <v>171</v>
      </c>
      <c r="D162" s="122" t="s">
        <v>302</v>
      </c>
      <c r="E162" s="173" t="s">
        <v>317</v>
      </c>
      <c r="F162" s="111"/>
      <c r="G162" s="185">
        <f t="shared" si="30"/>
        <v>18473.650000000001</v>
      </c>
      <c r="H162" s="186"/>
      <c r="I162" s="187">
        <v>28421</v>
      </c>
      <c r="J162" s="188">
        <v>31252</v>
      </c>
      <c r="K162" s="189">
        <v>29807</v>
      </c>
      <c r="L162" s="123">
        <v>29262</v>
      </c>
      <c r="M162" s="123">
        <v>23911</v>
      </c>
      <c r="N162" s="190">
        <v>4891</v>
      </c>
      <c r="O162" s="189">
        <v>6575</v>
      </c>
      <c r="P162" s="188">
        <v>8279</v>
      </c>
      <c r="Q162" s="208">
        <v>11638</v>
      </c>
      <c r="R162" s="123">
        <v>12140</v>
      </c>
      <c r="S162" s="188"/>
      <c r="T162" s="187">
        <v>31537</v>
      </c>
      <c r="U162" s="188">
        <v>30459</v>
      </c>
      <c r="V162" s="189">
        <v>23892</v>
      </c>
      <c r="W162" s="123">
        <v>23635</v>
      </c>
      <c r="X162" s="190">
        <v>1389</v>
      </c>
      <c r="Y162" s="189">
        <v>1503</v>
      </c>
      <c r="Z162" s="188">
        <v>5680</v>
      </c>
      <c r="AA162" s="123">
        <v>809</v>
      </c>
      <c r="AB162" s="191"/>
      <c r="AC162" s="204">
        <f t="shared" si="25"/>
        <v>28559.9</v>
      </c>
      <c r="AD162" s="205">
        <f t="shared" si="26"/>
        <v>8044.7000000000007</v>
      </c>
      <c r="AE162" s="204">
        <f>SUM(AC162*'Factors &amp; Percentages'!$E$27+AD162*'Factors &amp; Percentages'!$E$28)</f>
        <v>3132.1932054077611</v>
      </c>
      <c r="AF162" s="16"/>
      <c r="AG162" s="125">
        <v>1</v>
      </c>
      <c r="AH162" s="204">
        <f>AG162*'Factors &amp; Percentages'!$E$31</f>
        <v>13099.846088755494</v>
      </c>
      <c r="AI162" s="18"/>
      <c r="AJ162" s="126">
        <v>461</v>
      </c>
      <c r="AK162" s="204">
        <f>AJ162*'Factors &amp; Percentages'!$E$34</f>
        <v>964.58259749330125</v>
      </c>
      <c r="AL162" s="18"/>
      <c r="AM162" s="124">
        <v>30</v>
      </c>
      <c r="AN162" s="211">
        <v>34</v>
      </c>
      <c r="AO162" s="124">
        <v>53</v>
      </c>
      <c r="AP162" s="212">
        <v>49</v>
      </c>
      <c r="AQ162" s="135">
        <v>20698</v>
      </c>
      <c r="AR162" s="179">
        <f t="shared" si="23"/>
        <v>20698</v>
      </c>
      <c r="AS162" s="205">
        <f>AN162*'Factors &amp; Percentages'!$E$37+AP162*'Factors &amp; Percentages'!$E$38+AR162*'Factors &amp; Percentages'!$E$39</f>
        <v>9599.2384000307866</v>
      </c>
      <c r="AT162" s="18"/>
      <c r="AU162" s="203">
        <f t="shared" si="27"/>
        <v>26795.860291687342</v>
      </c>
      <c r="AV162" s="213">
        <f t="shared" si="29"/>
        <v>18473.650000000001</v>
      </c>
      <c r="AW162" s="196">
        <f>IF($BG162&gt;$AV162,$BG162*(1+'Factors &amp; Percentages'!$B$24),
IF($AU162&gt;$AV162,$AV162,
IF($AU162&gt;$BG162,$AU162,
$BG162*(1+'Factors &amp; Percentages'!$B$24))))</f>
        <v>18473.650000000001</v>
      </c>
      <c r="AX162" s="185">
        <f t="shared" si="24"/>
        <v>18473.650000000001</v>
      </c>
      <c r="AY162" s="127"/>
      <c r="AZ162" s="27"/>
      <c r="BA162" s="223">
        <v>20313.8</v>
      </c>
      <c r="BB162" s="185">
        <v>19374.55</v>
      </c>
      <c r="BC162" s="204">
        <v>19020</v>
      </c>
      <c r="BD162" s="218">
        <v>16912.5</v>
      </c>
      <c r="BE162" s="224">
        <v>20487.350000000002</v>
      </c>
      <c r="BF162" s="219"/>
      <c r="BG162" s="221">
        <v>15000</v>
      </c>
      <c r="BH162" s="226">
        <v>15000</v>
      </c>
      <c r="BI162" s="220">
        <v>16000</v>
      </c>
      <c r="BJ162" s="227">
        <v>16913</v>
      </c>
      <c r="BK162" s="221">
        <v>16500</v>
      </c>
      <c r="BL162" s="128">
        <v>16250</v>
      </c>
      <c r="BM162" s="128">
        <v>16250</v>
      </c>
    </row>
    <row r="163" spans="1:65" x14ac:dyDescent="0.3">
      <c r="A163" s="111" t="s">
        <v>449</v>
      </c>
      <c r="B163" s="111" t="s">
        <v>450</v>
      </c>
      <c r="C163" s="112" t="s">
        <v>172</v>
      </c>
      <c r="D163" s="113" t="s">
        <v>302</v>
      </c>
      <c r="E163" s="113" t="s">
        <v>317</v>
      </c>
      <c r="F163" s="111"/>
      <c r="G163" s="46">
        <f t="shared" si="30"/>
        <v>20845.387516331546</v>
      </c>
      <c r="H163" s="111"/>
      <c r="I163" s="114">
        <v>34262</v>
      </c>
      <c r="J163" s="47">
        <v>26249</v>
      </c>
      <c r="K163" s="47">
        <v>26799</v>
      </c>
      <c r="L163" s="47">
        <v>22019</v>
      </c>
      <c r="M163" s="47">
        <v>22865</v>
      </c>
      <c r="N163" s="114">
        <v>37130</v>
      </c>
      <c r="O163" s="47">
        <v>44155</v>
      </c>
      <c r="P163" s="47">
        <v>47082</v>
      </c>
      <c r="Q163" s="115">
        <v>52613</v>
      </c>
      <c r="R163" s="47">
        <v>46379</v>
      </c>
      <c r="S163" s="47"/>
      <c r="T163" s="114">
        <v>25891</v>
      </c>
      <c r="U163" s="47">
        <v>24289</v>
      </c>
      <c r="V163" s="47">
        <v>15085</v>
      </c>
      <c r="W163" s="47">
        <v>15085</v>
      </c>
      <c r="X163" s="114">
        <v>0</v>
      </c>
      <c r="Y163" s="47">
        <v>0</v>
      </c>
      <c r="Z163" s="47">
        <v>0</v>
      </c>
      <c r="AA163" s="47">
        <v>0</v>
      </c>
      <c r="AB163" s="47"/>
      <c r="AC163" s="16">
        <f t="shared" ref="AC163:AC195" si="31">I163+X163*0.1</f>
        <v>34262</v>
      </c>
      <c r="AD163" s="16">
        <f t="shared" ref="AD163:AD195" si="32">N163+0.1*T163</f>
        <v>39719.1</v>
      </c>
      <c r="AE163" s="16">
        <f>SUM(AC163*'Factors &amp; Percentages'!$E$27+AD163*'Factors &amp; Percentages'!$E$28)</f>
        <v>5777.5991472187143</v>
      </c>
      <c r="AF163" s="16"/>
      <c r="AG163" s="101">
        <v>0.5</v>
      </c>
      <c r="AH163" s="18">
        <f>AG163*'Factors &amp; Percentages'!$E$31</f>
        <v>6549.9230443777469</v>
      </c>
      <c r="AI163" s="18"/>
      <c r="AJ163" s="18">
        <v>599</v>
      </c>
      <c r="AK163" s="18">
        <f>AJ163*'Factors &amp; Percentages'!$E$34</f>
        <v>1253.3296657234002</v>
      </c>
      <c r="AL163" s="18"/>
      <c r="AM163" s="30">
        <v>35</v>
      </c>
      <c r="AN163" s="30">
        <v>40</v>
      </c>
      <c r="AO163" s="30">
        <v>42</v>
      </c>
      <c r="AP163" s="116">
        <v>52</v>
      </c>
      <c r="AQ163" s="115">
        <v>5270</v>
      </c>
      <c r="AR163" s="115">
        <f t="shared" si="23"/>
        <v>5270</v>
      </c>
      <c r="AS163" s="18">
        <f>AN163*'Factors &amp; Percentages'!$E$37+AP163*'Factors &amp; Percentages'!$E$38+AR163*'Factors &amp; Percentages'!$E$39</f>
        <v>7264.5356590116862</v>
      </c>
      <c r="AT163" s="18"/>
      <c r="AU163" s="18">
        <f t="shared" si="27"/>
        <v>20845.387516331546</v>
      </c>
      <c r="AV163" s="69">
        <f t="shared" si="29"/>
        <v>20845.387516331546</v>
      </c>
      <c r="AW163" s="46">
        <f>IF($BG163&gt;$AV163,$BG163*(1+'Factors &amp; Percentages'!$B$24),
IF($AU163&gt;$AV163,$AV163,
IF($AU163&gt;$BG163,$AU163,
$BG163*(1+'Factors &amp; Percentages'!$B$24))))</f>
        <v>20845.387516331546</v>
      </c>
      <c r="AX163" s="46">
        <f t="shared" si="24"/>
        <v>20845.387516331546</v>
      </c>
      <c r="AY163" s="69"/>
      <c r="AZ163" s="27"/>
      <c r="BA163" s="21">
        <v>18017.705392004435</v>
      </c>
      <c r="BB163" s="46">
        <v>16770</v>
      </c>
      <c r="BC163" s="119">
        <v>14312</v>
      </c>
      <c r="BD163" s="120">
        <v>14862.25</v>
      </c>
      <c r="BE163" s="120">
        <v>15990.8</v>
      </c>
      <c r="BF163" s="69"/>
      <c r="BG163" s="73">
        <v>16000</v>
      </c>
      <c r="BH163" s="73">
        <v>14040</v>
      </c>
      <c r="BI163" s="117">
        <v>10200</v>
      </c>
      <c r="BJ163" s="118">
        <v>7200</v>
      </c>
      <c r="BK163" s="106">
        <v>6000</v>
      </c>
      <c r="BL163" s="106">
        <v>5856</v>
      </c>
      <c r="BM163" s="106">
        <v>5856</v>
      </c>
    </row>
    <row r="164" spans="1:65" x14ac:dyDescent="0.3">
      <c r="A164" s="121" t="s">
        <v>451</v>
      </c>
      <c r="B164" s="121" t="s">
        <v>452</v>
      </c>
      <c r="C164" s="174" t="s">
        <v>173</v>
      </c>
      <c r="D164" s="122" t="s">
        <v>302</v>
      </c>
      <c r="E164" s="173" t="s">
        <v>317</v>
      </c>
      <c r="F164" s="111"/>
      <c r="G164" s="185">
        <f t="shared" si="30"/>
        <v>22916.267598316437</v>
      </c>
      <c r="H164" s="186"/>
      <c r="I164" s="187">
        <v>21944</v>
      </c>
      <c r="J164" s="188">
        <v>19784</v>
      </c>
      <c r="K164" s="189">
        <v>20259</v>
      </c>
      <c r="L164" s="123">
        <v>17623</v>
      </c>
      <c r="M164" s="123">
        <v>15058</v>
      </c>
      <c r="N164" s="190">
        <v>213916</v>
      </c>
      <c r="O164" s="189">
        <v>226957</v>
      </c>
      <c r="P164" s="188">
        <v>8567</v>
      </c>
      <c r="Q164" s="208">
        <v>17739</v>
      </c>
      <c r="R164" s="123">
        <v>14588</v>
      </c>
      <c r="S164" s="188"/>
      <c r="T164" s="187">
        <v>23634</v>
      </c>
      <c r="U164" s="188">
        <v>23740</v>
      </c>
      <c r="V164" s="189">
        <v>24545</v>
      </c>
      <c r="W164" s="123">
        <v>23910</v>
      </c>
      <c r="X164" s="190">
        <v>1153</v>
      </c>
      <c r="Y164" s="189">
        <v>126</v>
      </c>
      <c r="Z164" s="188">
        <v>3997</v>
      </c>
      <c r="AA164" s="123">
        <v>0</v>
      </c>
      <c r="AB164" s="191"/>
      <c r="AC164" s="204">
        <f t="shared" si="31"/>
        <v>22059.3</v>
      </c>
      <c r="AD164" s="205">
        <f t="shared" si="32"/>
        <v>216279.4</v>
      </c>
      <c r="AE164" s="204">
        <f>SUM(AC164*'Factors &amp; Percentages'!$E$27+AD164*'Factors &amp; Percentages'!$E$28)</f>
        <v>16531.947810168349</v>
      </c>
      <c r="AF164" s="16"/>
      <c r="AG164" s="125">
        <v>0.25</v>
      </c>
      <c r="AH164" s="204">
        <f>AG164*'Factors &amp; Percentages'!$E$31</f>
        <v>3274.9615221888735</v>
      </c>
      <c r="AI164" s="18"/>
      <c r="AJ164" s="126">
        <v>374</v>
      </c>
      <c r="AK164" s="204">
        <f>AJ164*'Factors &amp; Percentages'!$E$34</f>
        <v>782.5464023047607</v>
      </c>
      <c r="AL164" s="18"/>
      <c r="AM164" s="124">
        <v>14</v>
      </c>
      <c r="AN164" s="211">
        <v>12</v>
      </c>
      <c r="AO164" s="124">
        <v>21</v>
      </c>
      <c r="AP164" s="212">
        <v>21</v>
      </c>
      <c r="AQ164" s="135">
        <v>1683</v>
      </c>
      <c r="AR164" s="179">
        <f t="shared" si="23"/>
        <v>1683</v>
      </c>
      <c r="AS164" s="205">
        <f>AN164*'Factors &amp; Percentages'!$E$37+AP164*'Factors &amp; Percentages'!$E$38+AR164*'Factors &amp; Percentages'!$E$39</f>
        <v>2326.8118636544518</v>
      </c>
      <c r="AT164" s="18"/>
      <c r="AU164" s="203">
        <f t="shared" si="27"/>
        <v>22916.267598316437</v>
      </c>
      <c r="AV164" s="213">
        <f t="shared" si="29"/>
        <v>22916.267598316437</v>
      </c>
      <c r="AW164" s="196">
        <f>IF($BG164&gt;$AV164,$BG164*(1+'Factors &amp; Percentages'!$B$24),
IF($AU164&gt;$AV164,$AV164,
IF($AU164&gt;$BG164,$AU164,
$BG164*(1+'Factors &amp; Percentages'!$B$24))))</f>
        <v>22916.267598316437</v>
      </c>
      <c r="AX164" s="185">
        <f t="shared" si="24"/>
        <v>22916.267598316437</v>
      </c>
      <c r="AY164" s="127"/>
      <c r="AZ164" s="27"/>
      <c r="BA164" s="223">
        <v>21535.564060501234</v>
      </c>
      <c r="BB164" s="185">
        <v>12027.75</v>
      </c>
      <c r="BC164" s="204">
        <v>11455</v>
      </c>
      <c r="BD164" s="218">
        <v>11094.599999999999</v>
      </c>
      <c r="BE164" s="224">
        <v>11892.557478346842</v>
      </c>
      <c r="BF164" s="219"/>
      <c r="BG164" s="221">
        <v>12629</v>
      </c>
      <c r="BH164" s="226">
        <v>12036</v>
      </c>
      <c r="BI164" s="220">
        <v>11455</v>
      </c>
      <c r="BJ164" s="227">
        <v>11095</v>
      </c>
      <c r="BK164" s="221">
        <v>10824</v>
      </c>
      <c r="BL164" s="128">
        <v>10332</v>
      </c>
      <c r="BM164" s="128">
        <v>9840</v>
      </c>
    </row>
    <row r="165" spans="1:65" x14ac:dyDescent="0.3">
      <c r="A165" s="111" t="s">
        <v>174</v>
      </c>
      <c r="B165" s="111" t="s">
        <v>174</v>
      </c>
      <c r="C165" s="112" t="s">
        <v>174</v>
      </c>
      <c r="D165" s="113" t="s">
        <v>302</v>
      </c>
      <c r="E165" s="113" t="s">
        <v>317</v>
      </c>
      <c r="F165" s="111"/>
      <c r="G165" s="46">
        <f t="shared" si="30"/>
        <v>33166.873345841013</v>
      </c>
      <c r="H165" s="111"/>
      <c r="I165" s="114">
        <v>71388</v>
      </c>
      <c r="J165" s="47">
        <v>58359</v>
      </c>
      <c r="K165" s="47">
        <v>72037</v>
      </c>
      <c r="L165" s="47">
        <v>58967</v>
      </c>
      <c r="M165" s="47">
        <v>54610</v>
      </c>
      <c r="N165" s="114">
        <v>14148</v>
      </c>
      <c r="O165" s="47">
        <v>23661</v>
      </c>
      <c r="P165" s="47">
        <v>42701</v>
      </c>
      <c r="Q165" s="115">
        <v>47131</v>
      </c>
      <c r="R165" s="47">
        <v>46082</v>
      </c>
      <c r="S165" s="47"/>
      <c r="T165" s="114">
        <v>6942</v>
      </c>
      <c r="U165" s="47">
        <v>7995</v>
      </c>
      <c r="V165" s="47">
        <v>7350</v>
      </c>
      <c r="W165" s="47">
        <v>8171</v>
      </c>
      <c r="X165" s="114">
        <v>0</v>
      </c>
      <c r="Y165" s="47">
        <v>3197</v>
      </c>
      <c r="Z165" s="47">
        <v>2086</v>
      </c>
      <c r="AA165" s="47">
        <v>0</v>
      </c>
      <c r="AB165" s="47"/>
      <c r="AC165" s="16">
        <f t="shared" si="31"/>
        <v>71388</v>
      </c>
      <c r="AD165" s="16">
        <f t="shared" si="32"/>
        <v>14842.2</v>
      </c>
      <c r="AE165" s="16">
        <f>SUM(AC165*'Factors &amp; Percentages'!$E$27+AD165*'Factors &amp; Percentages'!$E$28)</f>
        <v>7475.396747288587</v>
      </c>
      <c r="AF165" s="16"/>
      <c r="AG165" s="101">
        <v>0.75</v>
      </c>
      <c r="AH165" s="18">
        <f>AG165*'Factors &amp; Percentages'!$E$31</f>
        <v>9824.8845665666195</v>
      </c>
      <c r="AI165" s="18"/>
      <c r="AJ165" s="18">
        <v>2650</v>
      </c>
      <c r="AK165" s="18">
        <f>AJ165*'Factors &amp; Percentages'!$E$34</f>
        <v>5544.7806580417537</v>
      </c>
      <c r="AL165" s="18"/>
      <c r="AM165" s="30">
        <v>49</v>
      </c>
      <c r="AN165" s="30">
        <v>47</v>
      </c>
      <c r="AO165" s="30">
        <v>92</v>
      </c>
      <c r="AP165" s="116">
        <v>91</v>
      </c>
      <c r="AQ165" s="115">
        <v>11505</v>
      </c>
      <c r="AR165" s="115">
        <f t="shared" si="23"/>
        <v>11505</v>
      </c>
      <c r="AS165" s="18">
        <f>AN165*'Factors &amp; Percentages'!$E$37+AP165*'Factors &amp; Percentages'!$E$38+AR165*'Factors &amp; Percentages'!$E$39</f>
        <v>10321.811373944056</v>
      </c>
      <c r="AT165" s="18"/>
      <c r="AU165" s="18">
        <f t="shared" si="27"/>
        <v>33166.873345841013</v>
      </c>
      <c r="AV165" s="69">
        <f t="shared" si="29"/>
        <v>33166.873345841013</v>
      </c>
      <c r="AW165" s="46">
        <f>IF($BG165&gt;$AV165,$BG165*(1+'Factors &amp; Percentages'!$B$24),
IF($AU165&gt;$AV165,$AV165,
IF($AU165&gt;$BG165,$AU165,
$BG165*(1+'Factors &amp; Percentages'!$B$24))))</f>
        <v>33166.873345841013</v>
      </c>
      <c r="AX165" s="46">
        <f t="shared" si="24"/>
        <v>33166.873345841013</v>
      </c>
      <c r="AY165" s="69"/>
      <c r="AZ165" s="27"/>
      <c r="BA165" s="21">
        <v>40320</v>
      </c>
      <c r="BB165" s="46">
        <v>40320</v>
      </c>
      <c r="BC165" s="119">
        <v>38329</v>
      </c>
      <c r="BD165" s="120">
        <v>38200.724999999999</v>
      </c>
      <c r="BE165" s="120">
        <v>37269</v>
      </c>
      <c r="BF165" s="69"/>
      <c r="BG165" s="73">
        <v>30000</v>
      </c>
      <c r="BH165" s="73">
        <v>38400</v>
      </c>
      <c r="BI165" s="117">
        <v>38400</v>
      </c>
      <c r="BJ165" s="118">
        <v>36000</v>
      </c>
      <c r="BK165" s="106">
        <v>37269</v>
      </c>
      <c r="BL165" s="106">
        <v>36360</v>
      </c>
      <c r="BM165" s="106">
        <v>36360</v>
      </c>
    </row>
    <row r="166" spans="1:65" x14ac:dyDescent="0.3">
      <c r="A166" s="121" t="s">
        <v>453</v>
      </c>
      <c r="B166" s="121" t="s">
        <v>29</v>
      </c>
      <c r="C166" s="174" t="s">
        <v>29</v>
      </c>
      <c r="D166" s="122" t="s">
        <v>279</v>
      </c>
      <c r="E166" s="173" t="s">
        <v>279</v>
      </c>
      <c r="F166" s="111"/>
      <c r="G166" s="185">
        <f t="shared" si="30"/>
        <v>50009.4</v>
      </c>
      <c r="H166" s="186"/>
      <c r="I166" s="187">
        <v>71690</v>
      </c>
      <c r="J166" s="188">
        <v>85680</v>
      </c>
      <c r="K166" s="189">
        <v>94536</v>
      </c>
      <c r="L166" s="123">
        <v>66403</v>
      </c>
      <c r="M166" s="123">
        <v>58701</v>
      </c>
      <c r="N166" s="190">
        <v>105034</v>
      </c>
      <c r="O166" s="189">
        <v>120845</v>
      </c>
      <c r="P166" s="188">
        <v>113031</v>
      </c>
      <c r="Q166" s="208">
        <v>79566</v>
      </c>
      <c r="R166" s="123">
        <v>58367</v>
      </c>
      <c r="S166" s="188"/>
      <c r="T166" s="187">
        <v>7847</v>
      </c>
      <c r="U166" s="188">
        <v>6515</v>
      </c>
      <c r="V166" s="189">
        <v>6933</v>
      </c>
      <c r="W166" s="123">
        <v>8843</v>
      </c>
      <c r="X166" s="190">
        <v>3435</v>
      </c>
      <c r="Y166" s="189">
        <v>1300</v>
      </c>
      <c r="Z166" s="188">
        <v>128</v>
      </c>
      <c r="AA166" s="123">
        <v>636</v>
      </c>
      <c r="AB166" s="191"/>
      <c r="AC166" s="204">
        <f t="shared" si="31"/>
        <v>72033.5</v>
      </c>
      <c r="AD166" s="205">
        <f t="shared" si="32"/>
        <v>105818.7</v>
      </c>
      <c r="AE166" s="204">
        <f>SUM(AC166*'Factors &amp; Percentages'!$E$27+AD166*'Factors &amp; Percentages'!$E$28)</f>
        <v>13645.975932545647</v>
      </c>
      <c r="AF166" s="16"/>
      <c r="AG166" s="125">
        <v>0.7</v>
      </c>
      <c r="AH166" s="204">
        <f>AG166*'Factors &amp; Percentages'!$E$31</f>
        <v>9169.8922621288457</v>
      </c>
      <c r="AI166" s="18"/>
      <c r="AJ166" s="126">
        <v>2179</v>
      </c>
      <c r="AK166" s="204">
        <f>AJ166*'Factors &amp; Percentages'!$E$34</f>
        <v>4559.2743599520682</v>
      </c>
      <c r="AL166" s="18"/>
      <c r="AM166" s="124">
        <v>53</v>
      </c>
      <c r="AN166" s="211">
        <v>52</v>
      </c>
      <c r="AO166" s="124">
        <v>114</v>
      </c>
      <c r="AP166" s="212">
        <v>112</v>
      </c>
      <c r="AQ166" s="135">
        <v>10525</v>
      </c>
      <c r="AR166" s="179">
        <f t="shared" si="23"/>
        <v>10525</v>
      </c>
      <c r="AS166" s="205">
        <f>AN166*'Factors &amp; Percentages'!$E$37+AP166*'Factors &amp; Percentages'!$E$38+AR166*'Factors &amp; Percentages'!$E$39</f>
        <v>11235.249754780478</v>
      </c>
      <c r="AT166" s="18"/>
      <c r="AU166" s="203">
        <f t="shared" si="27"/>
        <v>38610.392309407034</v>
      </c>
      <c r="AV166" s="213">
        <f t="shared" si="29"/>
        <v>38610.392309407034</v>
      </c>
      <c r="AW166" s="196">
        <f>IF($BG166&gt;$AV166,$BG166*(1+'Factors &amp; Percentages'!$B$24),
IF($AU166&gt;$AV166,$AV166,
IF($AU166&gt;$BG166,$AU166,
$BG166*(1+'Factors &amp; Percentages'!$B$24))))</f>
        <v>50009.4</v>
      </c>
      <c r="AX166" s="185">
        <f t="shared" si="24"/>
        <v>50009.4</v>
      </c>
      <c r="AY166" s="127"/>
      <c r="AZ166" s="27"/>
      <c r="BA166" s="223">
        <v>47628</v>
      </c>
      <c r="BB166" s="185">
        <v>45360</v>
      </c>
      <c r="BC166" s="204">
        <v>43162</v>
      </c>
      <c r="BD166" s="218">
        <v>38155.65</v>
      </c>
      <c r="BE166" s="224">
        <v>37954.724999999999</v>
      </c>
      <c r="BF166" s="219"/>
      <c r="BG166" s="221">
        <v>47628</v>
      </c>
      <c r="BH166" s="226">
        <v>45360</v>
      </c>
      <c r="BI166" s="220">
        <v>43200</v>
      </c>
      <c r="BJ166" s="227">
        <v>38160</v>
      </c>
      <c r="BK166" s="221">
        <v>37584</v>
      </c>
      <c r="BL166" s="128">
        <v>37029</v>
      </c>
      <c r="BM166" s="128">
        <v>37029</v>
      </c>
    </row>
    <row r="167" spans="1:65" x14ac:dyDescent="0.3">
      <c r="A167" s="111" t="s">
        <v>54</v>
      </c>
      <c r="B167" s="111" t="s">
        <v>54</v>
      </c>
      <c r="C167" s="111" t="s">
        <v>54</v>
      </c>
      <c r="D167" s="113" t="s">
        <v>279</v>
      </c>
      <c r="E167" s="113" t="s">
        <v>281</v>
      </c>
      <c r="F167" s="111"/>
      <c r="G167" s="46">
        <f t="shared" si="30"/>
        <v>29730.122327587334</v>
      </c>
      <c r="H167" s="111"/>
      <c r="I167" s="114">
        <v>30804</v>
      </c>
      <c r="J167" s="47">
        <v>34321</v>
      </c>
      <c r="K167" s="47">
        <v>22123</v>
      </c>
      <c r="L167" s="47">
        <v>27176</v>
      </c>
      <c r="M167" s="47">
        <v>24841</v>
      </c>
      <c r="N167" s="114">
        <v>94516</v>
      </c>
      <c r="O167" s="47">
        <v>67471</v>
      </c>
      <c r="P167" s="47">
        <v>72194</v>
      </c>
      <c r="Q167" s="115">
        <v>77260</v>
      </c>
      <c r="R167" s="47">
        <v>81800</v>
      </c>
      <c r="S167" s="47"/>
      <c r="T167" s="114">
        <v>52561</v>
      </c>
      <c r="U167" s="47">
        <v>102087</v>
      </c>
      <c r="V167" s="47">
        <v>91936</v>
      </c>
      <c r="W167" s="47">
        <v>93374</v>
      </c>
      <c r="X167" s="114">
        <v>2734</v>
      </c>
      <c r="Y167" s="47">
        <v>1809</v>
      </c>
      <c r="Z167" s="47">
        <v>0</v>
      </c>
      <c r="AA167" s="47">
        <v>1190</v>
      </c>
      <c r="AB167" s="47"/>
      <c r="AC167" s="16">
        <f t="shared" si="31"/>
        <v>31077.4</v>
      </c>
      <c r="AD167" s="16">
        <f t="shared" si="32"/>
        <v>99772.1</v>
      </c>
      <c r="AE167" s="16">
        <f>SUM(AC167*'Factors &amp; Percentages'!$E$27+AD167*'Factors &amp; Percentages'!$E$28)</f>
        <v>9523.0983691847687</v>
      </c>
      <c r="AF167" s="16"/>
      <c r="AG167" s="101">
        <v>0.25</v>
      </c>
      <c r="AH167" s="18">
        <f>AG167*'Factors &amp; Percentages'!$E$31</f>
        <v>3274.9615221888735</v>
      </c>
      <c r="AI167" s="18"/>
      <c r="AJ167" s="18">
        <v>5916</v>
      </c>
      <c r="AK167" s="18">
        <f>AJ167*'Factors &amp; Percentages'!$E$34</f>
        <v>12378.461272820759</v>
      </c>
      <c r="AL167" s="18"/>
      <c r="AM167" s="30">
        <v>24</v>
      </c>
      <c r="AN167" s="30">
        <v>25</v>
      </c>
      <c r="AO167" s="30">
        <v>48</v>
      </c>
      <c r="AP167" s="116">
        <v>49</v>
      </c>
      <c r="AQ167" s="115">
        <v>1464</v>
      </c>
      <c r="AR167" s="115">
        <f t="shared" si="23"/>
        <v>1464</v>
      </c>
      <c r="AS167" s="18">
        <f>AN167*'Factors &amp; Percentages'!$E$37+AP167*'Factors &amp; Percentages'!$E$38+AR167*'Factors &amp; Percentages'!$E$39</f>
        <v>4553.6011633929293</v>
      </c>
      <c r="AT167" s="18"/>
      <c r="AU167" s="18">
        <f t="shared" si="27"/>
        <v>29730.122327587334</v>
      </c>
      <c r="AV167" s="69">
        <f t="shared" si="29"/>
        <v>29730.122327587334</v>
      </c>
      <c r="AW167" s="46">
        <f>IF($BG167&gt;$AV167,$BG167*(1+'Factors &amp; Percentages'!$B$24),
IF($AU167&gt;$AV167,$AV167,
IF($AU167&gt;$BG167,$AU167,
$BG167*(1+'Factors &amp; Percentages'!$B$24))))</f>
        <v>29730.122327587334</v>
      </c>
      <c r="AX167" s="46">
        <f t="shared" si="24"/>
        <v>29730.122327587334</v>
      </c>
      <c r="AY167" s="69"/>
      <c r="AZ167" s="27"/>
      <c r="BA167" s="21">
        <v>28500.363959927585</v>
      </c>
      <c r="BB167" s="46">
        <v>30561</v>
      </c>
      <c r="BC167" s="119">
        <v>17664</v>
      </c>
      <c r="BD167" s="120">
        <v>16146.650000000001</v>
      </c>
      <c r="BE167" s="120">
        <v>27461.75</v>
      </c>
      <c r="BF167" s="69"/>
      <c r="BG167" s="73">
        <v>5000</v>
      </c>
      <c r="BH167" s="73">
        <v>10500</v>
      </c>
      <c r="BI167" s="117">
        <v>10500</v>
      </c>
      <c r="BJ167" s="118">
        <v>10500</v>
      </c>
      <c r="BK167" s="106">
        <v>16000</v>
      </c>
      <c r="BL167" s="106">
        <v>10500</v>
      </c>
      <c r="BM167" s="106">
        <v>10000</v>
      </c>
    </row>
    <row r="168" spans="1:65" x14ac:dyDescent="0.3">
      <c r="A168" s="121" t="s">
        <v>454</v>
      </c>
      <c r="B168" s="121" t="s">
        <v>271</v>
      </c>
      <c r="C168" s="174" t="s">
        <v>271</v>
      </c>
      <c r="D168" s="122" t="s">
        <v>279</v>
      </c>
      <c r="E168" s="173" t="s">
        <v>281</v>
      </c>
      <c r="F168" s="111"/>
      <c r="G168" s="185">
        <f t="shared" si="30"/>
        <v>31521.363196962004</v>
      </c>
      <c r="H168" s="186"/>
      <c r="I168" s="187">
        <v>65261</v>
      </c>
      <c r="J168" s="188">
        <v>51319</v>
      </c>
      <c r="K168" s="189">
        <v>40094</v>
      </c>
      <c r="L168" s="123">
        <v>32823</v>
      </c>
      <c r="M168" s="123">
        <v>44275</v>
      </c>
      <c r="N168" s="190">
        <v>146494</v>
      </c>
      <c r="O168" s="189">
        <v>118848</v>
      </c>
      <c r="P168" s="188">
        <v>107918</v>
      </c>
      <c r="Q168" s="208">
        <v>141462</v>
      </c>
      <c r="R168" s="123">
        <v>143090</v>
      </c>
      <c r="S168" s="188"/>
      <c r="T168" s="187">
        <v>205953</v>
      </c>
      <c r="U168" s="188">
        <v>171809</v>
      </c>
      <c r="V168" s="189">
        <v>178641</v>
      </c>
      <c r="W168" s="123">
        <v>244094</v>
      </c>
      <c r="X168" s="190">
        <v>5328</v>
      </c>
      <c r="Y168" s="189">
        <v>9184</v>
      </c>
      <c r="Z168" s="188">
        <v>21624</v>
      </c>
      <c r="AA168" s="123">
        <v>12392</v>
      </c>
      <c r="AB168" s="191"/>
      <c r="AC168" s="204">
        <f t="shared" si="31"/>
        <v>65793.8</v>
      </c>
      <c r="AD168" s="205">
        <f t="shared" si="32"/>
        <v>167089.29999999999</v>
      </c>
      <c r="AE168" s="204">
        <f>SUM(AC168*'Factors &amp; Percentages'!$E$27+AD168*'Factors &amp; Percentages'!$E$28)</f>
        <v>17196.034268407308</v>
      </c>
      <c r="AF168" s="16"/>
      <c r="AG168" s="125">
        <v>0.17</v>
      </c>
      <c r="AH168" s="204">
        <f>AG168*'Factors &amp; Percentages'!$E$31</f>
        <v>2226.973835088434</v>
      </c>
      <c r="AI168" s="18"/>
      <c r="AJ168" s="126">
        <v>3021</v>
      </c>
      <c r="AK168" s="204">
        <f>AJ168*'Factors &amp; Percentages'!$E$34</f>
        <v>6321.0499501675995</v>
      </c>
      <c r="AL168" s="18"/>
      <c r="AM168" s="130">
        <v>26</v>
      </c>
      <c r="AN168" s="211">
        <v>27</v>
      </c>
      <c r="AO168" s="124">
        <v>72</v>
      </c>
      <c r="AP168" s="212">
        <v>79</v>
      </c>
      <c r="AQ168" s="135">
        <v>2795</v>
      </c>
      <c r="AR168" s="179">
        <f t="shared" si="23"/>
        <v>2795</v>
      </c>
      <c r="AS168" s="205">
        <f>AN168*'Factors &amp; Percentages'!$E$37+AP168*'Factors &amp; Percentages'!$E$38+AR168*'Factors &amp; Percentages'!$E$39</f>
        <v>5777.3051432986667</v>
      </c>
      <c r="AT168" s="18"/>
      <c r="AU168" s="203">
        <f t="shared" si="27"/>
        <v>31521.363196962004</v>
      </c>
      <c r="AV168" s="213">
        <f t="shared" si="29"/>
        <v>31521.363196962004</v>
      </c>
      <c r="AW168" s="196">
        <f>IF($BG168&gt;$AV168,$BG168*(1+'Factors &amp; Percentages'!$B$24),
IF($AU168&gt;$AV168,$AV168,
IF($AU168&gt;$BG168,$AU168,
$BG168*(1+'Factors &amp; Percentages'!$B$24))))</f>
        <v>31521.363196962004</v>
      </c>
      <c r="AX168" s="185">
        <f t="shared" si="24"/>
        <v>31521.363196962004</v>
      </c>
      <c r="AY168" s="127"/>
      <c r="AZ168" s="27"/>
      <c r="BA168" s="223">
        <v>25425.983048706476</v>
      </c>
      <c r="BB168" s="185">
        <v>23564</v>
      </c>
      <c r="BC168" s="204">
        <v>21335</v>
      </c>
      <c r="BD168" s="218">
        <v>28778.75</v>
      </c>
      <c r="BE168" s="224">
        <v>27820.474438456342</v>
      </c>
      <c r="BF168" s="219"/>
      <c r="BG168" s="221">
        <v>15000</v>
      </c>
      <c r="BH168" s="226">
        <v>13000</v>
      </c>
      <c r="BI168" s="220">
        <v>12000</v>
      </c>
      <c r="BJ168" s="227">
        <v>12000</v>
      </c>
      <c r="BK168" s="221">
        <v>18000</v>
      </c>
      <c r="BL168" s="128">
        <v>8000</v>
      </c>
      <c r="BM168" s="128">
        <v>7500</v>
      </c>
    </row>
    <row r="169" spans="1:65" x14ac:dyDescent="0.3">
      <c r="A169" s="111" t="s">
        <v>455</v>
      </c>
      <c r="B169" s="111" t="s">
        <v>455</v>
      </c>
      <c r="C169" s="112" t="s">
        <v>186</v>
      </c>
      <c r="D169" s="113" t="s">
        <v>295</v>
      </c>
      <c r="E169" s="113" t="s">
        <v>296</v>
      </c>
      <c r="F169" s="111"/>
      <c r="G169" s="46">
        <f t="shared" si="30"/>
        <v>40060.65</v>
      </c>
      <c r="H169" s="111"/>
      <c r="I169" s="114">
        <v>32912</v>
      </c>
      <c r="J169" s="47">
        <v>44595</v>
      </c>
      <c r="K169" s="47">
        <v>42355</v>
      </c>
      <c r="L169" s="47">
        <v>40591</v>
      </c>
      <c r="M169" s="47">
        <v>28614</v>
      </c>
      <c r="N169" s="114">
        <v>80136</v>
      </c>
      <c r="O169" s="47">
        <v>117798</v>
      </c>
      <c r="P169" s="47">
        <v>45934</v>
      </c>
      <c r="Q169" s="115">
        <v>36748</v>
      </c>
      <c r="R169" s="47">
        <v>34850</v>
      </c>
      <c r="S169" s="47"/>
      <c r="T169" s="114">
        <v>2743</v>
      </c>
      <c r="U169" s="47">
        <v>5758</v>
      </c>
      <c r="V169" s="47">
        <v>97188</v>
      </c>
      <c r="W169" s="47">
        <v>126014</v>
      </c>
      <c r="X169" s="114">
        <v>543</v>
      </c>
      <c r="Y169" s="47">
        <v>311</v>
      </c>
      <c r="Z169" s="47">
        <v>1185</v>
      </c>
      <c r="AA169" s="47">
        <v>56</v>
      </c>
      <c r="AB169" s="47"/>
      <c r="AC169" s="16">
        <f t="shared" si="31"/>
        <v>32966.300000000003</v>
      </c>
      <c r="AD169" s="16">
        <f t="shared" si="32"/>
        <v>80410.3</v>
      </c>
      <c r="AE169" s="16">
        <f>SUM(AC169*'Factors &amp; Percentages'!$E$27+AD169*'Factors &amp; Percentages'!$E$28)</f>
        <v>8393.7424508608292</v>
      </c>
      <c r="AF169" s="16"/>
      <c r="AG169" s="101">
        <v>0.8</v>
      </c>
      <c r="AH169" s="18">
        <f>AG169*'Factors &amp; Percentages'!$E$31</f>
        <v>10479.876871004395</v>
      </c>
      <c r="AI169" s="18"/>
      <c r="AJ169" s="18">
        <v>790</v>
      </c>
      <c r="AK169" s="18">
        <f>AJ169*'Factors &amp; Percentages'!$E$34</f>
        <v>1652.9723471143341</v>
      </c>
      <c r="AL169" s="18"/>
      <c r="AM169" s="30">
        <v>35</v>
      </c>
      <c r="AN169" s="30">
        <v>35</v>
      </c>
      <c r="AO169" s="30">
        <v>85</v>
      </c>
      <c r="AP169" s="116">
        <v>80</v>
      </c>
      <c r="AQ169" s="115">
        <v>21115</v>
      </c>
      <c r="AR169" s="115">
        <f t="shared" si="23"/>
        <v>21115</v>
      </c>
      <c r="AS169" s="18">
        <f>AN169*'Factors &amp; Percentages'!$E$37+AP169*'Factors &amp; Percentages'!$E$38+AR169*'Factors &amp; Percentages'!$E$39</f>
        <v>10535.524852138293</v>
      </c>
      <c r="AT169" s="18"/>
      <c r="AU169" s="18">
        <f t="shared" si="27"/>
        <v>31062.116521117852</v>
      </c>
      <c r="AV169" s="69">
        <f t="shared" si="29"/>
        <v>31062.116521117852</v>
      </c>
      <c r="AW169" s="46">
        <f>IF($BG169&gt;$AV169,$BG169*(1+'Factors &amp; Percentages'!$B$24),
IF($AU169&gt;$AV169,$AV169,
IF($AU169&gt;$BG169,$AU169,
$BG169*(1+'Factors &amp; Percentages'!$B$24))))</f>
        <v>40060.65</v>
      </c>
      <c r="AX169" s="46">
        <f t="shared" si="24"/>
        <v>40060.65</v>
      </c>
      <c r="AY169" s="69"/>
      <c r="AZ169" s="27"/>
      <c r="BA169" s="21">
        <v>40060.65</v>
      </c>
      <c r="BB169" s="46">
        <v>50871.450000000004</v>
      </c>
      <c r="BC169" s="119">
        <v>50871</v>
      </c>
      <c r="BD169" s="120">
        <v>48448.674999999996</v>
      </c>
      <c r="BE169" s="120">
        <v>47266.85</v>
      </c>
      <c r="BF169" s="69"/>
      <c r="BG169" s="73">
        <v>38153</v>
      </c>
      <c r="BH169" s="73">
        <v>38153</v>
      </c>
      <c r="BI169" s="117">
        <v>48449</v>
      </c>
      <c r="BJ169" s="118">
        <v>48449</v>
      </c>
      <c r="BK169" s="106">
        <v>47267</v>
      </c>
      <c r="BL169" s="106">
        <v>46114</v>
      </c>
      <c r="BM169" s="106">
        <v>45210</v>
      </c>
    </row>
    <row r="170" spans="1:65" x14ac:dyDescent="0.3">
      <c r="A170" s="121" t="s">
        <v>205</v>
      </c>
      <c r="B170" s="121" t="s">
        <v>205</v>
      </c>
      <c r="C170" s="174" t="s">
        <v>205</v>
      </c>
      <c r="D170" s="122" t="s">
        <v>279</v>
      </c>
      <c r="E170" s="173" t="s">
        <v>280</v>
      </c>
      <c r="F170" s="111"/>
      <c r="G170" s="185">
        <f t="shared" si="30"/>
        <v>29607.9</v>
      </c>
      <c r="H170" s="186"/>
      <c r="I170" s="187">
        <v>44987</v>
      </c>
      <c r="J170" s="188">
        <v>37083</v>
      </c>
      <c r="K170" s="189">
        <v>41543</v>
      </c>
      <c r="L170" s="123">
        <v>38733</v>
      </c>
      <c r="M170" s="123">
        <v>31967</v>
      </c>
      <c r="N170" s="190">
        <v>6529</v>
      </c>
      <c r="O170" s="189">
        <v>7839</v>
      </c>
      <c r="P170" s="188">
        <v>11151</v>
      </c>
      <c r="Q170" s="208">
        <v>9225</v>
      </c>
      <c r="R170" s="123">
        <v>8613</v>
      </c>
      <c r="S170" s="188"/>
      <c r="T170" s="187">
        <v>5515</v>
      </c>
      <c r="U170" s="188">
        <v>5508</v>
      </c>
      <c r="V170" s="189">
        <v>5487</v>
      </c>
      <c r="W170" s="123">
        <v>9858</v>
      </c>
      <c r="X170" s="190">
        <v>0</v>
      </c>
      <c r="Y170" s="189">
        <v>5766</v>
      </c>
      <c r="Z170" s="188">
        <v>3823</v>
      </c>
      <c r="AA170" s="123">
        <v>3099</v>
      </c>
      <c r="AB170" s="191"/>
      <c r="AC170" s="204">
        <f t="shared" si="31"/>
        <v>44987</v>
      </c>
      <c r="AD170" s="205">
        <f t="shared" si="32"/>
        <v>7080.5</v>
      </c>
      <c r="AE170" s="204">
        <f>SUM(AC170*'Factors &amp; Percentages'!$E$27+AD170*'Factors &amp; Percentages'!$E$28)</f>
        <v>4558.1303543151043</v>
      </c>
      <c r="AF170" s="16"/>
      <c r="AG170" s="125">
        <v>1</v>
      </c>
      <c r="AH170" s="204">
        <f>AG170*'Factors &amp; Percentages'!$E$31</f>
        <v>13099.846088755494</v>
      </c>
      <c r="AI170" s="18"/>
      <c r="AJ170" s="126">
        <v>291</v>
      </c>
      <c r="AK170" s="204">
        <f>AJ170*'Factors &amp; Percentages'!$E$34</f>
        <v>608.87968735477375</v>
      </c>
      <c r="AL170" s="18"/>
      <c r="AM170" s="124">
        <v>28</v>
      </c>
      <c r="AN170" s="211">
        <v>30</v>
      </c>
      <c r="AO170" s="124">
        <v>48</v>
      </c>
      <c r="AP170" s="212">
        <v>44</v>
      </c>
      <c r="AQ170" s="135">
        <v>20067</v>
      </c>
      <c r="AR170" s="179">
        <f t="shared" si="23"/>
        <v>20067</v>
      </c>
      <c r="AS170" s="205">
        <f>AN170*'Factors &amp; Percentages'!$E$37+AP170*'Factors &amp; Percentages'!$E$38+AR170*'Factors &amp; Percentages'!$E$39</f>
        <v>8856.2376872112236</v>
      </c>
      <c r="AT170" s="18"/>
      <c r="AU170" s="203">
        <f t="shared" si="27"/>
        <v>27123.093817636596</v>
      </c>
      <c r="AV170" s="213">
        <f t="shared" si="29"/>
        <v>27123.093817636596</v>
      </c>
      <c r="AW170" s="196">
        <f>IF($BG170&gt;$AV170,$BG170*(1+'Factors &amp; Percentages'!$B$24),
IF($AU170&gt;$AV170,$AV170,
IF($AU170&gt;$BG170,$AU170,
$BG170*(1+'Factors &amp; Percentages'!$B$24))))</f>
        <v>29607.9</v>
      </c>
      <c r="AX170" s="185">
        <f t="shared" si="24"/>
        <v>29607.9</v>
      </c>
      <c r="AY170" s="127"/>
      <c r="AZ170" s="27"/>
      <c r="BA170" s="223">
        <v>28197.75</v>
      </c>
      <c r="BB170" s="185">
        <v>28197.75</v>
      </c>
      <c r="BC170" s="204">
        <v>27510</v>
      </c>
      <c r="BD170" s="218">
        <v>26200.024999999998</v>
      </c>
      <c r="BE170" s="224">
        <v>25560.799999999999</v>
      </c>
      <c r="BF170" s="219"/>
      <c r="BG170" s="221">
        <v>28198</v>
      </c>
      <c r="BH170" s="226">
        <v>26855</v>
      </c>
      <c r="BI170" s="220">
        <v>26855</v>
      </c>
      <c r="BJ170" s="227">
        <v>26200</v>
      </c>
      <c r="BK170" s="221">
        <v>25561</v>
      </c>
      <c r="BL170" s="128">
        <v>19950</v>
      </c>
      <c r="BM170" s="128">
        <v>19000</v>
      </c>
    </row>
    <row r="171" spans="1:65" x14ac:dyDescent="0.3">
      <c r="A171" s="111" t="s">
        <v>206</v>
      </c>
      <c r="B171" s="111" t="s">
        <v>206</v>
      </c>
      <c r="C171" s="112" t="s">
        <v>206</v>
      </c>
      <c r="D171" s="113" t="s">
        <v>279</v>
      </c>
      <c r="E171" s="113" t="s">
        <v>280</v>
      </c>
      <c r="F171" s="111"/>
      <c r="G171" s="46">
        <f t="shared" si="30"/>
        <v>44563.35</v>
      </c>
      <c r="H171" s="111"/>
      <c r="I171" s="114">
        <v>68559</v>
      </c>
      <c r="J171" s="47">
        <v>72467</v>
      </c>
      <c r="K171" s="47">
        <v>72221</v>
      </c>
      <c r="L171" s="47">
        <v>57158</v>
      </c>
      <c r="M171" s="47">
        <v>45529</v>
      </c>
      <c r="N171" s="114">
        <v>52358</v>
      </c>
      <c r="O171" s="47">
        <v>120672</v>
      </c>
      <c r="P171" s="47">
        <v>145324</v>
      </c>
      <c r="Q171" s="115">
        <v>198080</v>
      </c>
      <c r="R171" s="47">
        <v>182947</v>
      </c>
      <c r="S171" s="47"/>
      <c r="T171" s="114">
        <v>35404</v>
      </c>
      <c r="U171" s="47">
        <v>34168</v>
      </c>
      <c r="V171" s="47">
        <v>62526</v>
      </c>
      <c r="W171" s="47">
        <v>43366</v>
      </c>
      <c r="X171" s="114">
        <v>2590</v>
      </c>
      <c r="Y171" s="47">
        <v>18143</v>
      </c>
      <c r="Z171" s="47">
        <v>5263</v>
      </c>
      <c r="AA171" s="47">
        <v>20</v>
      </c>
      <c r="AB171" s="47"/>
      <c r="AC171" s="16">
        <f t="shared" si="31"/>
        <v>68818</v>
      </c>
      <c r="AD171" s="16">
        <f t="shared" si="32"/>
        <v>55898.400000000001</v>
      </c>
      <c r="AE171" s="16">
        <f>SUM(AC171*'Factors &amp; Percentages'!$E$27+AD171*'Factors &amp; Percentages'!$E$28)</f>
        <v>10000.422328705974</v>
      </c>
      <c r="AF171" s="16"/>
      <c r="AG171" s="101">
        <v>1</v>
      </c>
      <c r="AH171" s="18">
        <f>AG171*'Factors &amp; Percentages'!$E$31</f>
        <v>13099.846088755494</v>
      </c>
      <c r="AI171" s="18"/>
      <c r="AJ171" s="18">
        <v>9161</v>
      </c>
      <c r="AK171" s="18">
        <f>AJ171*'Factors &amp; Percentages'!$E$34</f>
        <v>19168.202116347362</v>
      </c>
      <c r="AL171" s="18"/>
      <c r="AM171" s="30">
        <v>20</v>
      </c>
      <c r="AN171" s="30">
        <v>20</v>
      </c>
      <c r="AO171" s="30">
        <v>94</v>
      </c>
      <c r="AP171" s="116">
        <v>93</v>
      </c>
      <c r="AQ171" s="115">
        <v>8061</v>
      </c>
      <c r="AR171" s="115">
        <f t="shared" si="23"/>
        <v>8061</v>
      </c>
      <c r="AS171" s="18">
        <f>AN171*'Factors &amp; Percentages'!$E$37+AP171*'Factors &amp; Percentages'!$E$38+AR171*'Factors &amp; Percentages'!$E$39</f>
        <v>6311.3203229140481</v>
      </c>
      <c r="AT171" s="18"/>
      <c r="AU171" s="18">
        <f t="shared" si="27"/>
        <v>48579.790856722881</v>
      </c>
      <c r="AV171" s="69">
        <f t="shared" si="29"/>
        <v>44563.35</v>
      </c>
      <c r="AW171" s="46">
        <f>IF($BG171&gt;$AV171,$BG171*(1+'Factors &amp; Percentages'!$B$24),
IF($AU171&gt;$AV171,$AV171,
IF($AU171&gt;$BG171,$AU171,
$BG171*(1+'Factors &amp; Percentages'!$B$24))))</f>
        <v>44563.35</v>
      </c>
      <c r="AX171" s="46">
        <f t="shared" si="24"/>
        <v>44563.35</v>
      </c>
      <c r="AY171" s="69"/>
      <c r="AZ171" s="27"/>
      <c r="BA171" s="21">
        <v>48889.544990548173</v>
      </c>
      <c r="BB171" s="46">
        <v>47003</v>
      </c>
      <c r="BC171" s="119">
        <v>43050</v>
      </c>
      <c r="BD171" s="120">
        <v>41000</v>
      </c>
      <c r="BE171" s="120">
        <v>51185</v>
      </c>
      <c r="BF171" s="69"/>
      <c r="BG171" s="73">
        <v>12000</v>
      </c>
      <c r="BH171" s="73">
        <v>43000</v>
      </c>
      <c r="BI171" s="117">
        <v>41000</v>
      </c>
      <c r="BJ171" s="118">
        <v>41000</v>
      </c>
      <c r="BK171" s="106">
        <v>40000</v>
      </c>
      <c r="BL171" s="106">
        <v>30000</v>
      </c>
      <c r="BM171" s="106">
        <v>22500</v>
      </c>
    </row>
    <row r="172" spans="1:65" x14ac:dyDescent="0.3">
      <c r="A172" s="121" t="s">
        <v>456</v>
      </c>
      <c r="B172" s="121" t="s">
        <v>456</v>
      </c>
      <c r="C172" s="174" t="s">
        <v>207</v>
      </c>
      <c r="D172" s="122" t="s">
        <v>279</v>
      </c>
      <c r="E172" s="173" t="s">
        <v>280</v>
      </c>
      <c r="F172" s="111"/>
      <c r="G172" s="185">
        <f t="shared" si="30"/>
        <v>58826.272045040634</v>
      </c>
      <c r="H172" s="186"/>
      <c r="I172" s="187">
        <v>94260</v>
      </c>
      <c r="J172" s="188">
        <v>110673</v>
      </c>
      <c r="K172" s="189">
        <v>77653</v>
      </c>
      <c r="L172" s="123">
        <v>62946</v>
      </c>
      <c r="M172" s="123">
        <v>104223</v>
      </c>
      <c r="N172" s="190">
        <v>138722</v>
      </c>
      <c r="O172" s="189">
        <v>123761</v>
      </c>
      <c r="P172" s="188">
        <v>95739</v>
      </c>
      <c r="Q172" s="208">
        <v>67246</v>
      </c>
      <c r="R172" s="123">
        <v>9496</v>
      </c>
      <c r="S172" s="188"/>
      <c r="T172" s="187">
        <v>0</v>
      </c>
      <c r="U172" s="188">
        <v>0</v>
      </c>
      <c r="V172" s="189">
        <v>0</v>
      </c>
      <c r="W172" s="123">
        <v>0</v>
      </c>
      <c r="X172" s="190">
        <v>0</v>
      </c>
      <c r="Y172" s="189">
        <v>0</v>
      </c>
      <c r="Z172" s="188">
        <v>0</v>
      </c>
      <c r="AA172" s="123">
        <v>0</v>
      </c>
      <c r="AB172" s="191"/>
      <c r="AC172" s="204">
        <f t="shared" si="31"/>
        <v>94260</v>
      </c>
      <c r="AD172" s="205">
        <f t="shared" si="32"/>
        <v>138722</v>
      </c>
      <c r="AE172" s="204">
        <f>SUM(AC172*'Factors &amp; Percentages'!$E$27+AD172*'Factors &amp; Percentages'!$E$28)</f>
        <v>17873.486023961585</v>
      </c>
      <c r="AF172" s="16"/>
      <c r="AG172" s="125">
        <v>1</v>
      </c>
      <c r="AH172" s="204">
        <f>AG172*'Factors &amp; Percentages'!$E$31</f>
        <v>13099.846088755494</v>
      </c>
      <c r="AI172" s="18"/>
      <c r="AJ172" s="126">
        <v>7817</v>
      </c>
      <c r="AK172" s="204">
        <f>AJ172*'Factors &amp; Percentages'!$E$34</f>
        <v>16356.056756193355</v>
      </c>
      <c r="AL172" s="18"/>
      <c r="AM172" s="124">
        <v>48</v>
      </c>
      <c r="AN172" s="211">
        <v>43</v>
      </c>
      <c r="AO172" s="124">
        <v>129</v>
      </c>
      <c r="AP172" s="212">
        <v>133</v>
      </c>
      <c r="AQ172" s="135">
        <v>14870</v>
      </c>
      <c r="AR172" s="179">
        <f t="shared" si="23"/>
        <v>14870</v>
      </c>
      <c r="AS172" s="205">
        <f>AN172*'Factors &amp; Percentages'!$E$37+AP172*'Factors &amp; Percentages'!$E$38+AR172*'Factors &amp; Percentages'!$E$39</f>
        <v>11496.883176130197</v>
      </c>
      <c r="AT172" s="18"/>
      <c r="AU172" s="203">
        <f t="shared" si="27"/>
        <v>58826.272045040634</v>
      </c>
      <c r="AV172" s="213">
        <f t="shared" si="29"/>
        <v>58826.272045040634</v>
      </c>
      <c r="AW172" s="196">
        <f>IF($BG172&gt;$AV172,$BG172*(1+'Factors &amp; Percentages'!$B$24),
IF($AU172&gt;$AV172,$AV172,
IF($AU172&gt;$BG172,$AU172,
$BG172*(1+'Factors &amp; Percentages'!$B$24))))</f>
        <v>58826.272045040634</v>
      </c>
      <c r="AX172" s="185">
        <f t="shared" si="24"/>
        <v>58826.272045040634</v>
      </c>
      <c r="AY172" s="127"/>
      <c r="AZ172" s="27"/>
      <c r="BA172" s="223">
        <v>54626.165678612619</v>
      </c>
      <c r="BB172" s="185">
        <v>49468</v>
      </c>
      <c r="BC172" s="204">
        <v>40915</v>
      </c>
      <c r="BD172" s="218">
        <v>62137.84729656054</v>
      </c>
      <c r="BE172" s="224">
        <v>62888.874999999993</v>
      </c>
      <c r="BF172" s="219"/>
      <c r="BG172" s="221">
        <v>54626</v>
      </c>
      <c r="BH172" s="226">
        <v>44000</v>
      </c>
      <c r="BI172" s="220">
        <v>40000</v>
      </c>
      <c r="BJ172" s="227">
        <v>37800</v>
      </c>
      <c r="BK172" s="221">
        <v>37356</v>
      </c>
      <c r="BL172" s="128">
        <v>61355</v>
      </c>
      <c r="BM172" s="128">
        <v>58433</v>
      </c>
    </row>
    <row r="173" spans="1:65" x14ac:dyDescent="0.3">
      <c r="A173" s="111" t="s">
        <v>457</v>
      </c>
      <c r="B173" s="111" t="s">
        <v>458</v>
      </c>
      <c r="C173" s="112" t="s">
        <v>208</v>
      </c>
      <c r="D173" s="113" t="s">
        <v>279</v>
      </c>
      <c r="E173" s="113" t="s">
        <v>280</v>
      </c>
      <c r="F173" s="111"/>
      <c r="G173" s="46">
        <f t="shared" si="30"/>
        <v>27699.037991110563</v>
      </c>
      <c r="H173" s="111"/>
      <c r="I173" s="114">
        <v>42778</v>
      </c>
      <c r="J173" s="47">
        <v>35071</v>
      </c>
      <c r="K173" s="47">
        <v>34890</v>
      </c>
      <c r="L173" s="47">
        <v>25590</v>
      </c>
      <c r="M173" s="47">
        <v>16434</v>
      </c>
      <c r="N173" s="114">
        <v>10078</v>
      </c>
      <c r="O173" s="47">
        <f>-73479+76391</f>
        <v>2912</v>
      </c>
      <c r="P173" s="47">
        <v>20371</v>
      </c>
      <c r="Q173" s="115">
        <v>18414</v>
      </c>
      <c r="R173" s="47">
        <v>15867</v>
      </c>
      <c r="S173" s="47"/>
      <c r="T173" s="114">
        <v>60976</v>
      </c>
      <c r="U173" s="47">
        <v>83087</v>
      </c>
      <c r="V173" s="47">
        <v>75334</v>
      </c>
      <c r="W173" s="47">
        <v>81556</v>
      </c>
      <c r="X173" s="114">
        <v>2764</v>
      </c>
      <c r="Y173" s="47">
        <v>2920</v>
      </c>
      <c r="Z173" s="47">
        <v>8978</v>
      </c>
      <c r="AA173" s="47">
        <v>2394</v>
      </c>
      <c r="AB173" s="47"/>
      <c r="AC173" s="16">
        <f t="shared" si="31"/>
        <v>43054.400000000001</v>
      </c>
      <c r="AD173" s="16">
        <f t="shared" si="32"/>
        <v>16175.6</v>
      </c>
      <c r="AE173" s="16">
        <f>SUM(AC173*'Factors &amp; Percentages'!$E$27+AD173*'Factors &amp; Percentages'!$E$28)</f>
        <v>4993.7810781483659</v>
      </c>
      <c r="AF173" s="16"/>
      <c r="AG173" s="101">
        <v>1</v>
      </c>
      <c r="AH173" s="18">
        <f>AG173*'Factors &amp; Percentages'!$E$31</f>
        <v>13099.846088755494</v>
      </c>
      <c r="AI173" s="18"/>
      <c r="AJ173" s="18">
        <v>1079</v>
      </c>
      <c r="AK173" s="18">
        <f>AJ173*'Factors &amp; Percentages'!$E$34</f>
        <v>2257.6672943498311</v>
      </c>
      <c r="AL173" s="18"/>
      <c r="AM173" s="30">
        <v>38</v>
      </c>
      <c r="AN173" s="30">
        <v>38</v>
      </c>
      <c r="AO173" s="30">
        <v>48</v>
      </c>
      <c r="AP173" s="116">
        <v>39</v>
      </c>
      <c r="AQ173" s="115">
        <v>8387</v>
      </c>
      <c r="AR173" s="115">
        <f t="shared" si="23"/>
        <v>8387</v>
      </c>
      <c r="AS173" s="18">
        <f>AN173*'Factors &amp; Percentages'!$E$37+AP173*'Factors &amp; Percentages'!$E$38+AR173*'Factors &amp; Percentages'!$E$39</f>
        <v>7347.7435298568707</v>
      </c>
      <c r="AT173" s="18"/>
      <c r="AU173" s="18">
        <f t="shared" si="27"/>
        <v>27699.037991110563</v>
      </c>
      <c r="AV173" s="69">
        <f t="shared" si="29"/>
        <v>27699.037991110563</v>
      </c>
      <c r="AW173" s="46">
        <f>IF($BG173&gt;$AV173,$BG173*(1+'Factors &amp; Percentages'!$B$24),
IF($AU173&gt;$AV173,$AV173,
IF($AU173&gt;$BG173,$AU173,
$BG173*(1+'Factors &amp; Percentages'!$B$24))))</f>
        <v>27699.037991110563</v>
      </c>
      <c r="AX173" s="46">
        <f t="shared" si="24"/>
        <v>27699.037991110563</v>
      </c>
      <c r="AY173" s="69"/>
      <c r="AZ173" s="27"/>
      <c r="BA173" s="21">
        <v>19936.724192024602</v>
      </c>
      <c r="BB173" s="46">
        <v>21805</v>
      </c>
      <c r="BC173" s="119">
        <v>16634</v>
      </c>
      <c r="BD173" s="120">
        <v>10682.1</v>
      </c>
      <c r="BE173" s="120">
        <v>17490.150000000001</v>
      </c>
      <c r="BF173" s="69"/>
      <c r="BG173" s="73">
        <v>8400</v>
      </c>
      <c r="BH173" s="73">
        <v>7720</v>
      </c>
      <c r="BI173" s="117">
        <v>11750</v>
      </c>
      <c r="BJ173" s="118">
        <v>10682</v>
      </c>
      <c r="BK173" s="106">
        <v>10500</v>
      </c>
      <c r="BL173" s="106">
        <v>8500</v>
      </c>
      <c r="BM173" s="106">
        <v>8000</v>
      </c>
    </row>
    <row r="174" spans="1:65" x14ac:dyDescent="0.3">
      <c r="A174" s="121" t="s">
        <v>459</v>
      </c>
      <c r="B174" s="121" t="s">
        <v>460</v>
      </c>
      <c r="C174" s="174" t="s">
        <v>209</v>
      </c>
      <c r="D174" s="122" t="s">
        <v>279</v>
      </c>
      <c r="E174" s="173" t="s">
        <v>280</v>
      </c>
      <c r="F174" s="111"/>
      <c r="G174" s="185">
        <f t="shared" si="30"/>
        <v>52500</v>
      </c>
      <c r="H174" s="186"/>
      <c r="I174" s="187">
        <v>100651</v>
      </c>
      <c r="J174" s="188">
        <v>84289</v>
      </c>
      <c r="K174" s="189">
        <v>91349</v>
      </c>
      <c r="L174" s="123">
        <v>73103</v>
      </c>
      <c r="M174" s="123">
        <v>75102</v>
      </c>
      <c r="N174" s="190">
        <v>8131</v>
      </c>
      <c r="O174" s="189">
        <v>-20917</v>
      </c>
      <c r="P174" s="188">
        <v>60530</v>
      </c>
      <c r="Q174" s="208">
        <v>73957</v>
      </c>
      <c r="R174" s="123">
        <v>96941</v>
      </c>
      <c r="S174" s="188"/>
      <c r="T174" s="187">
        <v>22386</v>
      </c>
      <c r="U174" s="188">
        <v>29013</v>
      </c>
      <c r="V174" s="189">
        <v>31915</v>
      </c>
      <c r="W174" s="123">
        <v>46467</v>
      </c>
      <c r="X174" s="190">
        <v>8320</v>
      </c>
      <c r="Y174" s="189">
        <v>13461</v>
      </c>
      <c r="Z174" s="188">
        <v>22540</v>
      </c>
      <c r="AA174" s="123">
        <v>21920</v>
      </c>
      <c r="AB174" s="191"/>
      <c r="AC174" s="204">
        <f t="shared" si="31"/>
        <v>101483</v>
      </c>
      <c r="AD174" s="205">
        <f t="shared" si="32"/>
        <v>10369.6</v>
      </c>
      <c r="AE174" s="204">
        <f>SUM(AC174*'Factors &amp; Percentages'!$E$27+AD174*'Factors &amp; Percentages'!$E$28)</f>
        <v>9905.9562546400739</v>
      </c>
      <c r="AF174" s="16"/>
      <c r="AG174" s="125">
        <v>0.9</v>
      </c>
      <c r="AH174" s="204">
        <f>AG174*'Factors &amp; Percentages'!$E$31</f>
        <v>11789.861479879944</v>
      </c>
      <c r="AI174" s="18"/>
      <c r="AJ174" s="126">
        <v>948</v>
      </c>
      <c r="AK174" s="204">
        <f>AJ174*'Factors &amp; Percentages'!$E$34</f>
        <v>1983.566816537201</v>
      </c>
      <c r="AL174" s="18"/>
      <c r="AM174" s="124">
        <v>76</v>
      </c>
      <c r="AN174" s="211">
        <v>70</v>
      </c>
      <c r="AO174" s="124">
        <v>163</v>
      </c>
      <c r="AP174" s="212">
        <v>170</v>
      </c>
      <c r="AQ174" s="135">
        <v>14278</v>
      </c>
      <c r="AR174" s="179">
        <f t="shared" si="23"/>
        <v>14278</v>
      </c>
      <c r="AS174" s="205">
        <f>AN174*'Factors &amp; Percentages'!$E$37+AP174*'Factors &amp; Percentages'!$E$38+AR174*'Factors &amp; Percentages'!$E$39</f>
        <v>15597.717283348877</v>
      </c>
      <c r="AT174" s="18"/>
      <c r="AU174" s="203">
        <f t="shared" si="27"/>
        <v>39277.101834406094</v>
      </c>
      <c r="AV174" s="213">
        <f t="shared" si="29"/>
        <v>39277.101834406094</v>
      </c>
      <c r="AW174" s="196">
        <f>IF($BG174&gt;$AV174,$BG174*(1+'Factors &amp; Percentages'!$B$24),
IF($AU174&gt;$AV174,$AV174,
IF($AU174&gt;$BG174,$AU174,
$BG174*(1+'Factors &amp; Percentages'!$B$24))))</f>
        <v>52500</v>
      </c>
      <c r="AX174" s="185">
        <f t="shared" si="24"/>
        <v>52500</v>
      </c>
      <c r="AY174" s="127"/>
      <c r="AZ174" s="27"/>
      <c r="BA174" s="223">
        <v>59535</v>
      </c>
      <c r="BB174" s="185">
        <v>56700</v>
      </c>
      <c r="BC174" s="204">
        <v>79063</v>
      </c>
      <c r="BD174" s="218">
        <v>75297.524999999994</v>
      </c>
      <c r="BE174" s="224">
        <v>73460.724999999991</v>
      </c>
      <c r="BF174" s="219"/>
      <c r="BG174" s="221">
        <v>50000</v>
      </c>
      <c r="BH174" s="226">
        <v>56700</v>
      </c>
      <c r="BI174" s="220">
        <v>54000</v>
      </c>
      <c r="BJ174" s="227">
        <v>75298</v>
      </c>
      <c r="BK174" s="221">
        <v>73461</v>
      </c>
      <c r="BL174" s="128">
        <v>71669</v>
      </c>
      <c r="BM174" s="128">
        <v>68256</v>
      </c>
    </row>
    <row r="175" spans="1:65" x14ac:dyDescent="0.3">
      <c r="A175" s="111" t="s">
        <v>210</v>
      </c>
      <c r="B175" s="111" t="s">
        <v>210</v>
      </c>
      <c r="C175" s="112" t="s">
        <v>210</v>
      </c>
      <c r="D175" s="113" t="s">
        <v>279</v>
      </c>
      <c r="E175" s="113" t="s">
        <v>280</v>
      </c>
      <c r="F175" s="111"/>
      <c r="G175" s="46">
        <f t="shared" si="30"/>
        <v>57750</v>
      </c>
      <c r="H175" s="111"/>
      <c r="I175" s="114">
        <v>130706</v>
      </c>
      <c r="J175" s="47">
        <v>136295</v>
      </c>
      <c r="K175" s="47">
        <v>118639</v>
      </c>
      <c r="L175" s="47">
        <v>105699</v>
      </c>
      <c r="M175" s="47">
        <v>137303</v>
      </c>
      <c r="N175" s="114">
        <v>70396</v>
      </c>
      <c r="O175" s="47">
        <v>73111</v>
      </c>
      <c r="P175" s="47">
        <v>55423</v>
      </c>
      <c r="Q175" s="115">
        <v>58788</v>
      </c>
      <c r="R175" s="47">
        <v>59330</v>
      </c>
      <c r="S175" s="47"/>
      <c r="T175" s="114">
        <v>17646</v>
      </c>
      <c r="U175" s="47">
        <v>27407</v>
      </c>
      <c r="V175" s="47">
        <v>26879</v>
      </c>
      <c r="W175" s="47">
        <v>20965</v>
      </c>
      <c r="X175" s="114">
        <v>12933</v>
      </c>
      <c r="Y175" s="47">
        <v>15480</v>
      </c>
      <c r="Z175" s="47">
        <v>1985</v>
      </c>
      <c r="AA175" s="47">
        <v>0</v>
      </c>
      <c r="AB175" s="47"/>
      <c r="AC175" s="16">
        <f t="shared" si="31"/>
        <v>131999.29999999999</v>
      </c>
      <c r="AD175" s="16">
        <f t="shared" si="32"/>
        <v>72160.600000000006</v>
      </c>
      <c r="AE175" s="16">
        <f>SUM(AC175*'Factors &amp; Percentages'!$E$27+AD175*'Factors &amp; Percentages'!$E$28)</f>
        <v>16826.482309884148</v>
      </c>
      <c r="AF175" s="16"/>
      <c r="AG175" s="101">
        <v>1</v>
      </c>
      <c r="AH175" s="18">
        <f>AG175*'Factors &amp; Percentages'!$E$31</f>
        <v>13099.846088755494</v>
      </c>
      <c r="AI175" s="18"/>
      <c r="AJ175" s="18">
        <v>15</v>
      </c>
      <c r="AK175" s="18">
        <f>AJ175*'Factors &amp; Percentages'!$E$34</f>
        <v>31.385550894575964</v>
      </c>
      <c r="AL175" s="18"/>
      <c r="AM175" s="30">
        <v>100</v>
      </c>
      <c r="AN175" s="30">
        <v>94</v>
      </c>
      <c r="AO175" s="30">
        <v>82</v>
      </c>
      <c r="AP175" s="116">
        <v>86</v>
      </c>
      <c r="AQ175" s="115">
        <v>7306</v>
      </c>
      <c r="AR175" s="115">
        <f t="shared" si="23"/>
        <v>7306</v>
      </c>
      <c r="AS175" s="18">
        <f>AN175*'Factors &amp; Percentages'!$E$37+AP175*'Factors &amp; Percentages'!$E$38+AR175*'Factors &amp; Percentages'!$E$39</f>
        <v>15185.784372694001</v>
      </c>
      <c r="AT175" s="18"/>
      <c r="AU175" s="18">
        <f t="shared" si="27"/>
        <v>45143.498322228217</v>
      </c>
      <c r="AV175" s="69">
        <f t="shared" si="29"/>
        <v>45143.498322228217</v>
      </c>
      <c r="AW175" s="46">
        <f>IF($BG175&gt;$AV175,$BG175*(1+'Factors &amp; Percentages'!$B$24),
IF($AU175&gt;$AV175,$AV175,
IF($AU175&gt;$BG175,$AU175,
$BG175*(1+'Factors &amp; Percentages'!$B$24))))</f>
        <v>57750</v>
      </c>
      <c r="AX175" s="46">
        <f t="shared" si="24"/>
        <v>57750</v>
      </c>
      <c r="AY175" s="69"/>
      <c r="AZ175" s="27"/>
      <c r="BA175" s="21">
        <v>57750</v>
      </c>
      <c r="BB175" s="46">
        <v>52500</v>
      </c>
      <c r="BC175" s="119">
        <v>57128</v>
      </c>
      <c r="BD175" s="120">
        <v>55074.754376931232</v>
      </c>
      <c r="BE175" s="120">
        <v>42908.234242249331</v>
      </c>
      <c r="BF175" s="69"/>
      <c r="BG175" s="73">
        <v>55000</v>
      </c>
      <c r="BH175" s="73">
        <v>55000</v>
      </c>
      <c r="BI175" s="117">
        <v>50000</v>
      </c>
      <c r="BJ175" s="118">
        <v>45000</v>
      </c>
      <c r="BK175" s="106">
        <v>39105</v>
      </c>
      <c r="BL175" s="106">
        <v>35550</v>
      </c>
      <c r="BM175" s="106">
        <v>32318</v>
      </c>
    </row>
    <row r="176" spans="1:65" x14ac:dyDescent="0.3">
      <c r="A176" s="121" t="s">
        <v>461</v>
      </c>
      <c r="B176" s="121" t="s">
        <v>462</v>
      </c>
      <c r="C176" s="174" t="s">
        <v>157</v>
      </c>
      <c r="D176" s="122" t="s">
        <v>279</v>
      </c>
      <c r="E176" s="173" t="s">
        <v>145</v>
      </c>
      <c r="F176" s="111"/>
      <c r="G176" s="185">
        <f t="shared" si="30"/>
        <v>44887.5</v>
      </c>
      <c r="H176" s="186"/>
      <c r="I176" s="187">
        <v>107096</v>
      </c>
      <c r="J176" s="188">
        <v>101771</v>
      </c>
      <c r="K176" s="189">
        <v>112811</v>
      </c>
      <c r="L176" s="123">
        <v>103279</v>
      </c>
      <c r="M176" s="123">
        <v>86719</v>
      </c>
      <c r="N176" s="190">
        <v>5434</v>
      </c>
      <c r="O176" s="189">
        <v>14833</v>
      </c>
      <c r="P176" s="188">
        <v>20386</v>
      </c>
      <c r="Q176" s="208">
        <v>18262</v>
      </c>
      <c r="R176" s="123">
        <v>18024</v>
      </c>
      <c r="S176" s="188"/>
      <c r="T176" s="187">
        <v>9815</v>
      </c>
      <c r="U176" s="188">
        <v>26711</v>
      </c>
      <c r="V176" s="189">
        <v>41972</v>
      </c>
      <c r="W176" s="123">
        <v>3669</v>
      </c>
      <c r="X176" s="190">
        <v>29234</v>
      </c>
      <c r="Y176" s="189">
        <v>21485</v>
      </c>
      <c r="Z176" s="188">
        <v>29742</v>
      </c>
      <c r="AA176" s="123">
        <v>60394</v>
      </c>
      <c r="AB176" s="191"/>
      <c r="AC176" s="204">
        <f t="shared" si="31"/>
        <v>110019.4</v>
      </c>
      <c r="AD176" s="205">
        <f t="shared" si="32"/>
        <v>6415.5</v>
      </c>
      <c r="AE176" s="204">
        <f>SUM(AC176*'Factors &amp; Percentages'!$E$27+AD176*'Factors &amp; Percentages'!$E$28)</f>
        <v>10414.965966132359</v>
      </c>
      <c r="AF176" s="16"/>
      <c r="AG176" s="125">
        <v>0.66</v>
      </c>
      <c r="AH176" s="204">
        <f>AG176*'Factors &amp; Percentages'!$E$31</f>
        <v>8645.8984185786267</v>
      </c>
      <c r="AI176" s="18"/>
      <c r="AJ176" s="126">
        <v>334</v>
      </c>
      <c r="AK176" s="204">
        <f>AJ176*'Factors &amp; Percentages'!$E$34</f>
        <v>698.85159991922478</v>
      </c>
      <c r="AL176" s="18"/>
      <c r="AM176" s="124">
        <v>53</v>
      </c>
      <c r="AN176" s="211">
        <v>51</v>
      </c>
      <c r="AO176" s="124">
        <v>96</v>
      </c>
      <c r="AP176" s="212">
        <v>87</v>
      </c>
      <c r="AQ176" s="135">
        <v>7955</v>
      </c>
      <c r="AR176" s="179">
        <f t="shared" si="23"/>
        <v>7955</v>
      </c>
      <c r="AS176" s="205">
        <f>AN176*'Factors &amp; Percentages'!$E$37+AP176*'Factors &amp; Percentages'!$E$38+AR176*'Factors &amp; Percentages'!$E$39</f>
        <v>10000.011003838297</v>
      </c>
      <c r="AT176" s="18"/>
      <c r="AU176" s="203">
        <f t="shared" si="27"/>
        <v>29759.726988468508</v>
      </c>
      <c r="AV176" s="213">
        <f t="shared" si="29"/>
        <v>29759.726988468508</v>
      </c>
      <c r="AW176" s="196">
        <f>IF($BG176&gt;$AV176,$BG176*(1+'Factors &amp; Percentages'!$B$24),
IF($AU176&gt;$AV176,$AV176,
IF($AU176&gt;$BG176,$AU176,
$BG176*(1+'Factors &amp; Percentages'!$B$24))))</f>
        <v>44887.5</v>
      </c>
      <c r="AX176" s="185">
        <f t="shared" si="24"/>
        <v>44887.5</v>
      </c>
      <c r="AY176" s="127"/>
      <c r="AZ176" s="27"/>
      <c r="BA176" s="223">
        <v>42749.700000000004</v>
      </c>
      <c r="BB176" s="185">
        <v>40713.75</v>
      </c>
      <c r="BC176" s="204">
        <v>45267</v>
      </c>
      <c r="BD176" s="218">
        <v>37534.371550621945</v>
      </c>
      <c r="BE176" s="224">
        <v>35084</v>
      </c>
      <c r="BF176" s="219"/>
      <c r="BG176" s="221">
        <v>42750</v>
      </c>
      <c r="BH176" s="226">
        <v>40714</v>
      </c>
      <c r="BI176" s="220">
        <v>38775</v>
      </c>
      <c r="BJ176" s="227">
        <v>35250</v>
      </c>
      <c r="BK176" s="221">
        <v>34033</v>
      </c>
      <c r="BL176" s="128">
        <v>30900</v>
      </c>
      <c r="BM176" s="128">
        <v>30000</v>
      </c>
    </row>
    <row r="177" spans="1:65" x14ac:dyDescent="0.3">
      <c r="A177" s="111" t="s">
        <v>212</v>
      </c>
      <c r="B177" s="111" t="s">
        <v>212</v>
      </c>
      <c r="C177" s="112" t="s">
        <v>212</v>
      </c>
      <c r="D177" s="113" t="s">
        <v>302</v>
      </c>
      <c r="E177" s="113" t="s">
        <v>303</v>
      </c>
      <c r="F177" s="111"/>
      <c r="G177" s="46">
        <f t="shared" si="30"/>
        <v>36157.442869841885</v>
      </c>
      <c r="H177" s="111"/>
      <c r="I177" s="114">
        <v>72482</v>
      </c>
      <c r="J177" s="47">
        <v>70274</v>
      </c>
      <c r="K177" s="47">
        <v>47294</v>
      </c>
      <c r="L177" s="47">
        <v>53911</v>
      </c>
      <c r="M177" s="47">
        <v>68207</v>
      </c>
      <c r="N177" s="114">
        <v>48064</v>
      </c>
      <c r="O177" s="47">
        <v>30889</v>
      </c>
      <c r="P177" s="47">
        <v>20152</v>
      </c>
      <c r="Q177" s="115">
        <v>20657</v>
      </c>
      <c r="R177" s="47">
        <v>16360</v>
      </c>
      <c r="S177" s="47"/>
      <c r="T177" s="114">
        <v>26081</v>
      </c>
      <c r="U177" s="47">
        <v>2268</v>
      </c>
      <c r="V177" s="47">
        <v>2762</v>
      </c>
      <c r="W177" s="47">
        <v>2624</v>
      </c>
      <c r="X177" s="114">
        <v>1045</v>
      </c>
      <c r="Y177" s="47">
        <v>553</v>
      </c>
      <c r="Z177" s="47">
        <v>4675</v>
      </c>
      <c r="AA177" s="47">
        <v>0</v>
      </c>
      <c r="AB177" s="47"/>
      <c r="AC177" s="16">
        <f t="shared" si="31"/>
        <v>72586.5</v>
      </c>
      <c r="AD177" s="16">
        <f t="shared" si="32"/>
        <v>50672.1</v>
      </c>
      <c r="AE177" s="16">
        <f>SUM(AC177*'Factors &amp; Percentages'!$E$27+AD177*'Factors &amp; Percentages'!$E$28)</f>
        <v>9991.2890030579292</v>
      </c>
      <c r="AF177" s="16"/>
      <c r="AG177" s="101">
        <v>1</v>
      </c>
      <c r="AH177" s="18">
        <f>AG177*'Factors &amp; Percentages'!$E$31</f>
        <v>13099.846088755494</v>
      </c>
      <c r="AI177" s="18"/>
      <c r="AJ177" s="18">
        <v>779</v>
      </c>
      <c r="AK177" s="18">
        <f>AJ177*'Factors &amp; Percentages'!$E$34</f>
        <v>1629.9562764583118</v>
      </c>
      <c r="AL177" s="18"/>
      <c r="AM177" s="30">
        <v>66</v>
      </c>
      <c r="AN177" s="30">
        <v>83</v>
      </c>
      <c r="AO177" s="30">
        <v>50</v>
      </c>
      <c r="AP177" s="116">
        <v>48</v>
      </c>
      <c r="AQ177" s="115">
        <v>0</v>
      </c>
      <c r="AR177" s="115">
        <f t="shared" si="23"/>
        <v>0</v>
      </c>
      <c r="AS177" s="18">
        <f>AN177*'Factors &amp; Percentages'!$E$37+AP177*'Factors &amp; Percentages'!$E$38+AR177*'Factors &amp; Percentages'!$E$39</f>
        <v>11436.351501570151</v>
      </c>
      <c r="AT177" s="18"/>
      <c r="AU177" s="18">
        <f t="shared" si="27"/>
        <v>36157.442869841885</v>
      </c>
      <c r="AV177" s="69">
        <f t="shared" si="29"/>
        <v>36157.442869841885</v>
      </c>
      <c r="AW177" s="46">
        <f>IF($BG177&gt;$AV177,$BG177*(1+'Factors &amp; Percentages'!$B$24),
IF($AU177&gt;$AV177,$AV177,
IF($AU177&gt;$BG177,$AU177,
$BG177*(1+'Factors &amp; Percentages'!$B$24))))</f>
        <v>36157.442869841885</v>
      </c>
      <c r="AX177" s="46">
        <f t="shared" si="24"/>
        <v>36157.442869841885</v>
      </c>
      <c r="AY177" s="69"/>
      <c r="AZ177" s="27"/>
      <c r="BA177" s="21">
        <v>29869.82168974153</v>
      </c>
      <c r="BB177" s="46">
        <v>27589</v>
      </c>
      <c r="BC177" s="119">
        <v>35042</v>
      </c>
      <c r="BD177" s="120">
        <v>40036.337760596369</v>
      </c>
      <c r="BE177" s="120">
        <v>37632.512107807415</v>
      </c>
      <c r="BF177" s="69"/>
      <c r="BG177" s="73">
        <v>11166</v>
      </c>
      <c r="BH177" s="73">
        <v>5500</v>
      </c>
      <c r="BI177" s="117">
        <v>1200</v>
      </c>
      <c r="BJ177" s="118">
        <v>17500</v>
      </c>
      <c r="BK177" s="106">
        <v>15000</v>
      </c>
      <c r="BL177" s="106">
        <v>15000</v>
      </c>
      <c r="BM177" s="106">
        <v>30000</v>
      </c>
    </row>
    <row r="178" spans="1:65" x14ac:dyDescent="0.3">
      <c r="A178" s="121" t="s">
        <v>463</v>
      </c>
      <c r="B178" s="121" t="s">
        <v>464</v>
      </c>
      <c r="C178" s="174" t="s">
        <v>225</v>
      </c>
      <c r="D178" s="122" t="s">
        <v>302</v>
      </c>
      <c r="E178" s="173" t="s">
        <v>303</v>
      </c>
      <c r="F178" s="111"/>
      <c r="G178" s="185">
        <f t="shared" si="30"/>
        <v>39375</v>
      </c>
      <c r="H178" s="186"/>
      <c r="I178" s="187">
        <v>62686</v>
      </c>
      <c r="J178" s="188">
        <v>55255</v>
      </c>
      <c r="K178" s="189">
        <v>59312</v>
      </c>
      <c r="L178" s="123">
        <v>55167</v>
      </c>
      <c r="M178" s="123">
        <v>57688</v>
      </c>
      <c r="N178" s="190">
        <v>63775</v>
      </c>
      <c r="O178" s="189">
        <v>69141</v>
      </c>
      <c r="P178" s="188">
        <v>71641</v>
      </c>
      <c r="Q178" s="208">
        <v>84102</v>
      </c>
      <c r="R178" s="123">
        <v>95994</v>
      </c>
      <c r="S178" s="188"/>
      <c r="T178" s="187">
        <v>5832</v>
      </c>
      <c r="U178" s="188">
        <v>6240</v>
      </c>
      <c r="V178" s="189">
        <v>6112</v>
      </c>
      <c r="W178" s="123">
        <v>4696</v>
      </c>
      <c r="X178" s="190">
        <v>1434</v>
      </c>
      <c r="Y178" s="189">
        <v>2870</v>
      </c>
      <c r="Z178" s="188">
        <v>5954</v>
      </c>
      <c r="AA178" s="123">
        <v>2617</v>
      </c>
      <c r="AB178" s="191"/>
      <c r="AC178" s="204">
        <f t="shared" si="31"/>
        <v>62829.4</v>
      </c>
      <c r="AD178" s="205">
        <f t="shared" si="32"/>
        <v>64358.2</v>
      </c>
      <c r="AE178" s="204">
        <f>SUM(AC178*'Factors &amp; Percentages'!$E$27+AD178*'Factors &amp; Percentages'!$E$28)</f>
        <v>10025.321332221283</v>
      </c>
      <c r="AF178" s="16"/>
      <c r="AG178" s="125">
        <v>1</v>
      </c>
      <c r="AH178" s="204">
        <f>AG178*'Factors &amp; Percentages'!$E$31</f>
        <v>13099.846088755494</v>
      </c>
      <c r="AI178" s="18"/>
      <c r="AJ178" s="126">
        <v>1392</v>
      </c>
      <c r="AK178" s="204">
        <f>AJ178*'Factors &amp; Percentages'!$E$34</f>
        <v>2912.5791230166496</v>
      </c>
      <c r="AL178" s="18"/>
      <c r="AM178" s="124">
        <v>37</v>
      </c>
      <c r="AN178" s="211">
        <v>39</v>
      </c>
      <c r="AO178" s="134">
        <v>94</v>
      </c>
      <c r="AP178" s="212">
        <v>94</v>
      </c>
      <c r="AQ178" s="135">
        <v>9274</v>
      </c>
      <c r="AR178" s="179">
        <f t="shared" si="23"/>
        <v>9274</v>
      </c>
      <c r="AS178" s="205">
        <f>AN178*'Factors &amp; Percentages'!$E$37+AP178*'Factors &amp; Percentages'!$E$38+AR178*'Factors &amp; Percentages'!$E$39</f>
        <v>8942.7718428502994</v>
      </c>
      <c r="AT178" s="18"/>
      <c r="AU178" s="203">
        <f t="shared" si="27"/>
        <v>34980.518386843731</v>
      </c>
      <c r="AV178" s="213">
        <f t="shared" si="29"/>
        <v>34980.518386843731</v>
      </c>
      <c r="AW178" s="196">
        <f>IF($BG178&gt;$AV178,$BG178*(1+'Factors &amp; Percentages'!$B$24),
IF($AU178&gt;$AV178,$AV178,
IF($AU178&gt;$BG178,$AU178,
$BG178*(1+'Factors &amp; Percentages'!$B$24))))</f>
        <v>39375</v>
      </c>
      <c r="AX178" s="185">
        <f t="shared" si="24"/>
        <v>39375</v>
      </c>
      <c r="AY178" s="127"/>
      <c r="AZ178" s="27"/>
      <c r="BA178" s="223">
        <v>37485</v>
      </c>
      <c r="BB178" s="185">
        <v>35700</v>
      </c>
      <c r="BC178" s="204">
        <v>39372</v>
      </c>
      <c r="BD178" s="218">
        <v>37497.200000000004</v>
      </c>
      <c r="BE178" s="224">
        <v>48836</v>
      </c>
      <c r="BF178" s="219"/>
      <c r="BG178" s="221">
        <v>37500</v>
      </c>
      <c r="BH178" s="226">
        <v>37500</v>
      </c>
      <c r="BI178" s="220">
        <v>34000</v>
      </c>
      <c r="BJ178" s="227">
        <v>37497</v>
      </c>
      <c r="BK178" s="221">
        <v>35880</v>
      </c>
      <c r="BL178" s="128">
        <v>35000</v>
      </c>
      <c r="BM178" s="128">
        <v>44263</v>
      </c>
    </row>
    <row r="179" spans="1:65" x14ac:dyDescent="0.3">
      <c r="A179" s="111" t="s">
        <v>465</v>
      </c>
      <c r="B179" s="111" t="s">
        <v>466</v>
      </c>
      <c r="C179" s="112" t="s">
        <v>226</v>
      </c>
      <c r="D179" s="113" t="s">
        <v>302</v>
      </c>
      <c r="E179" s="113" t="s">
        <v>303</v>
      </c>
      <c r="F179" s="111"/>
      <c r="G179" s="46">
        <f t="shared" si="30"/>
        <v>20921.55</v>
      </c>
      <c r="H179" s="111"/>
      <c r="I179" s="114">
        <v>32187</v>
      </c>
      <c r="J179" s="47">
        <v>35036</v>
      </c>
      <c r="K179" s="47">
        <v>27385</v>
      </c>
      <c r="L179" s="47">
        <v>27347</v>
      </c>
      <c r="M179" s="47">
        <v>18392</v>
      </c>
      <c r="N179" s="114">
        <v>17149</v>
      </c>
      <c r="O179" s="47">
        <v>10771</v>
      </c>
      <c r="P179" s="47">
        <v>12415</v>
      </c>
      <c r="Q179" s="115">
        <v>27565</v>
      </c>
      <c r="R179" s="47">
        <v>20687</v>
      </c>
      <c r="S179" s="47"/>
      <c r="T179" s="114">
        <v>0</v>
      </c>
      <c r="U179" s="47">
        <v>0</v>
      </c>
      <c r="V179" s="47">
        <v>0</v>
      </c>
      <c r="W179" s="47">
        <v>0</v>
      </c>
      <c r="X179" s="114">
        <v>0</v>
      </c>
      <c r="Y179" s="47">
        <v>0</v>
      </c>
      <c r="Z179" s="47">
        <v>18098</v>
      </c>
      <c r="AA179" s="47">
        <v>14</v>
      </c>
      <c r="AB179" s="47"/>
      <c r="AC179" s="16">
        <f t="shared" si="31"/>
        <v>32187</v>
      </c>
      <c r="AD179" s="16">
        <f t="shared" si="32"/>
        <v>17149</v>
      </c>
      <c r="AE179" s="16">
        <f>SUM(AC179*'Factors &amp; Percentages'!$E$27+AD179*'Factors &amp; Percentages'!$E$28)</f>
        <v>4072.9895184437255</v>
      </c>
      <c r="AF179" s="16"/>
      <c r="AG179" s="101">
        <v>1</v>
      </c>
      <c r="AH179" s="18">
        <f>AG179*'Factors &amp; Percentages'!$E$31</f>
        <v>13099.846088755494</v>
      </c>
      <c r="AI179" s="18"/>
      <c r="AJ179" s="18">
        <v>286</v>
      </c>
      <c r="AK179" s="18">
        <f>AJ179*'Factors &amp; Percentages'!$E$34</f>
        <v>598.41783705658167</v>
      </c>
      <c r="AL179" s="18"/>
      <c r="AM179" s="30">
        <v>30</v>
      </c>
      <c r="AN179" s="30">
        <v>32</v>
      </c>
      <c r="AO179" s="30">
        <v>65</v>
      </c>
      <c r="AP179" s="116">
        <v>65</v>
      </c>
      <c r="AQ179" s="115">
        <v>9612</v>
      </c>
      <c r="AR179" s="115">
        <f t="shared" si="23"/>
        <v>9612</v>
      </c>
      <c r="AS179" s="18">
        <f>AN179*'Factors &amp; Percentages'!$E$37+AP179*'Factors &amp; Percentages'!$E$38+AR179*'Factors &amp; Percentages'!$E$39</f>
        <v>7462.1940104646792</v>
      </c>
      <c r="AT179" s="18"/>
      <c r="AU179" s="18">
        <f t="shared" si="27"/>
        <v>25233.447454720481</v>
      </c>
      <c r="AV179" s="69">
        <f t="shared" si="29"/>
        <v>20921.55</v>
      </c>
      <c r="AW179" s="46">
        <f>IF($BG179&gt;$AV179,$BG179*(1+'Factors &amp; Percentages'!$B$24),
IF($AU179&gt;$AV179,$AV179,
IF($AU179&gt;$BG179,$AU179,
$BG179*(1+'Factors &amp; Percentages'!$B$24))))</f>
        <v>20921.55</v>
      </c>
      <c r="AX179" s="46">
        <f t="shared" si="24"/>
        <v>20921.55</v>
      </c>
      <c r="AY179" s="69"/>
      <c r="AZ179" s="27"/>
      <c r="BA179" s="21">
        <v>22580.519337041391</v>
      </c>
      <c r="BB179" s="46">
        <v>17800.25</v>
      </c>
      <c r="BC179" s="119">
        <v>17776</v>
      </c>
      <c r="BD179" s="120">
        <v>12455.8</v>
      </c>
      <c r="BE179" s="120">
        <v>23424.3</v>
      </c>
      <c r="BF179" s="69"/>
      <c r="BG179" s="73">
        <v>12000</v>
      </c>
      <c r="BH179" s="73">
        <v>10000</v>
      </c>
      <c r="BI179" s="117">
        <v>12000</v>
      </c>
      <c r="BJ179" s="118">
        <v>12456</v>
      </c>
      <c r="BK179" s="106">
        <v>12152</v>
      </c>
      <c r="BL179" s="106">
        <v>12152</v>
      </c>
      <c r="BM179" s="106">
        <v>11464</v>
      </c>
    </row>
    <row r="180" spans="1:65" x14ac:dyDescent="0.3">
      <c r="A180" s="121" t="s">
        <v>467</v>
      </c>
      <c r="B180" s="121" t="s">
        <v>468</v>
      </c>
      <c r="C180" s="174" t="s">
        <v>224</v>
      </c>
      <c r="D180" s="122" t="s">
        <v>302</v>
      </c>
      <c r="E180" s="173" t="s">
        <v>303</v>
      </c>
      <c r="F180" s="111"/>
      <c r="G180" s="185">
        <f t="shared" si="30"/>
        <v>12948.676844883848</v>
      </c>
      <c r="H180" s="186"/>
      <c r="I180" s="187">
        <v>20235</v>
      </c>
      <c r="J180" s="188">
        <v>18231</v>
      </c>
      <c r="K180" s="189">
        <v>18231</v>
      </c>
      <c r="L180" s="123">
        <v>26521</v>
      </c>
      <c r="M180" s="123">
        <v>12954</v>
      </c>
      <c r="N180" s="190">
        <v>55758</v>
      </c>
      <c r="O180" s="189">
        <v>14629</v>
      </c>
      <c r="P180" s="188">
        <v>14629</v>
      </c>
      <c r="Q180" s="208">
        <v>20611</v>
      </c>
      <c r="R180" s="123">
        <v>29185</v>
      </c>
      <c r="S180" s="188"/>
      <c r="T180" s="187">
        <v>529</v>
      </c>
      <c r="U180" s="188">
        <v>0</v>
      </c>
      <c r="V180" s="189">
        <v>0</v>
      </c>
      <c r="W180" s="123">
        <v>-964</v>
      </c>
      <c r="X180" s="190">
        <v>58</v>
      </c>
      <c r="Y180" s="189">
        <v>0</v>
      </c>
      <c r="Z180" s="188">
        <v>0</v>
      </c>
      <c r="AA180" s="123">
        <v>0</v>
      </c>
      <c r="AB180" s="191"/>
      <c r="AC180" s="204">
        <f t="shared" si="31"/>
        <v>20240.8</v>
      </c>
      <c r="AD180" s="205">
        <f t="shared" si="32"/>
        <v>55810.9</v>
      </c>
      <c r="AE180" s="204">
        <f>SUM(AC180*'Factors &amp; Percentages'!$E$27+AD180*'Factors &amp; Percentages'!$E$28)</f>
        <v>5586.2963363612307</v>
      </c>
      <c r="AF180" s="16"/>
      <c r="AG180" s="125">
        <v>0.1</v>
      </c>
      <c r="AH180" s="204">
        <f>AG180*'Factors &amp; Percentages'!$E$31</f>
        <v>1309.9846088755494</v>
      </c>
      <c r="AI180" s="18"/>
      <c r="AJ180" s="126">
        <v>720</v>
      </c>
      <c r="AK180" s="204">
        <f>AJ180*'Factors &amp; Percentages'!$E$34</f>
        <v>1506.5064429396464</v>
      </c>
      <c r="AL180" s="18"/>
      <c r="AM180" s="124">
        <v>13</v>
      </c>
      <c r="AN180" s="211">
        <v>11</v>
      </c>
      <c r="AO180" s="124">
        <v>25</v>
      </c>
      <c r="AP180" s="212">
        <v>24</v>
      </c>
      <c r="AQ180" s="135">
        <v>12814</v>
      </c>
      <c r="AR180" s="179">
        <f>+AQ180</f>
        <v>12814</v>
      </c>
      <c r="AS180" s="205">
        <f>AN180*'Factors &amp; Percentages'!$E$37+AP180*'Factors &amp; Percentages'!$E$38+AR180*'Factors &amp; Percentages'!$E$39</f>
        <v>4545.8894567074221</v>
      </c>
      <c r="AT180" s="18"/>
      <c r="AU180" s="203">
        <f t="shared" si="27"/>
        <v>12948.676844883848</v>
      </c>
      <c r="AV180" s="213">
        <f t="shared" si="29"/>
        <v>12948.676844883848</v>
      </c>
      <c r="AW180" s="196">
        <f>IF($BG180&gt;$AV180,$BG180*(1+'Factors &amp; Percentages'!$B$24),
IF($AU180&gt;$AV180,$AV180,
IF($AU180&gt;$BG180,$AU180,
$BG180*(1+'Factors &amp; Percentages'!$B$24))))</f>
        <v>12948.676844883848</v>
      </c>
      <c r="AX180" s="185">
        <f t="shared" si="24"/>
        <v>12948.676844883848</v>
      </c>
      <c r="AY180" s="127"/>
      <c r="AZ180" s="27"/>
      <c r="BA180" s="223">
        <v>12600</v>
      </c>
      <c r="BB180" s="185">
        <v>8858</v>
      </c>
      <c r="BC180" s="204">
        <v>13925</v>
      </c>
      <c r="BD180" s="218">
        <v>8972.8499999999985</v>
      </c>
      <c r="BE180" s="224">
        <v>9217.25</v>
      </c>
      <c r="BF180" s="219"/>
      <c r="BG180" s="221">
        <v>5040</v>
      </c>
      <c r="BH180" s="226">
        <v>12000</v>
      </c>
      <c r="BI180" s="220">
        <v>0</v>
      </c>
      <c r="BJ180" s="227">
        <v>9060</v>
      </c>
      <c r="BK180" s="221">
        <v>9060</v>
      </c>
      <c r="BL180" s="132">
        <v>8640</v>
      </c>
      <c r="BM180" s="132">
        <v>7896</v>
      </c>
    </row>
    <row r="181" spans="1:65" x14ac:dyDescent="0.3">
      <c r="A181" s="111" t="s">
        <v>469</v>
      </c>
      <c r="B181" s="111" t="s">
        <v>469</v>
      </c>
      <c r="C181" s="112" t="s">
        <v>223</v>
      </c>
      <c r="D181" s="113" t="s">
        <v>302</v>
      </c>
      <c r="E181" s="113" t="s">
        <v>303</v>
      </c>
      <c r="F181" s="111"/>
      <c r="G181" s="46">
        <f t="shared" si="30"/>
        <v>27422.850000000002</v>
      </c>
      <c r="H181" s="111"/>
      <c r="I181" s="114">
        <v>42189</v>
      </c>
      <c r="J181" s="47">
        <v>44150</v>
      </c>
      <c r="K181" s="47">
        <v>46694</v>
      </c>
      <c r="L181" s="47">
        <v>40051</v>
      </c>
      <c r="M181" s="47">
        <v>37720</v>
      </c>
      <c r="N181" s="114">
        <v>11106</v>
      </c>
      <c r="O181" s="47">
        <v>6246</v>
      </c>
      <c r="P181" s="47">
        <v>5501</v>
      </c>
      <c r="Q181" s="115">
        <v>3783</v>
      </c>
      <c r="R181" s="47">
        <v>0</v>
      </c>
      <c r="S181" s="47"/>
      <c r="T181" s="114">
        <v>50083</v>
      </c>
      <c r="U181" s="47">
        <v>50083</v>
      </c>
      <c r="V181" s="47">
        <v>50083</v>
      </c>
      <c r="W181" s="47">
        <v>50083</v>
      </c>
      <c r="X181" s="114">
        <v>0</v>
      </c>
      <c r="Y181" s="47">
        <v>987</v>
      </c>
      <c r="Z181" s="47">
        <v>0</v>
      </c>
      <c r="AA181" s="47">
        <v>961</v>
      </c>
      <c r="AB181" s="47"/>
      <c r="AC181" s="16">
        <f t="shared" si="31"/>
        <v>42189</v>
      </c>
      <c r="AD181" s="16">
        <f t="shared" si="32"/>
        <v>16114.3</v>
      </c>
      <c r="AE181" s="16">
        <f>SUM(AC181*'Factors &amp; Percentages'!$E$27+AD181*'Factors &amp; Percentages'!$E$28)</f>
        <v>4911.1301346418277</v>
      </c>
      <c r="AF181" s="16"/>
      <c r="AG181" s="101">
        <v>1</v>
      </c>
      <c r="AH181" s="18">
        <f>AG181*'Factors &amp; Percentages'!$E$31</f>
        <v>13099.846088755494</v>
      </c>
      <c r="AI181" s="18"/>
      <c r="AJ181" s="18">
        <v>2870</v>
      </c>
      <c r="AK181" s="18">
        <f>AJ181*'Factors &amp; Percentages'!$E$34</f>
        <v>6005.1020711622014</v>
      </c>
      <c r="AL181" s="18"/>
      <c r="AM181" s="137">
        <v>15</v>
      </c>
      <c r="AN181" s="30">
        <v>15</v>
      </c>
      <c r="AO181" s="137">
        <v>108</v>
      </c>
      <c r="AP181" s="116">
        <v>108</v>
      </c>
      <c r="AQ181" s="115">
        <v>15257</v>
      </c>
      <c r="AR181" s="115">
        <f t="shared" si="23"/>
        <v>15257</v>
      </c>
      <c r="AS181" s="18">
        <f>AN181*'Factors &amp; Percentages'!$E$37+AP181*'Factors &amp; Percentages'!$E$38+AR181*'Factors &amp; Percentages'!$E$39</f>
        <v>7511.3449724346829</v>
      </c>
      <c r="AT181" s="18"/>
      <c r="AU181" s="18">
        <f t="shared" si="27"/>
        <v>31527.423266994207</v>
      </c>
      <c r="AV181" s="69">
        <f t="shared" si="29"/>
        <v>27422.850000000002</v>
      </c>
      <c r="AW181" s="46">
        <f>IF($BG181&gt;$AV181,$BG181*(1+'Factors &amp; Percentages'!$B$24),
IF($AU181&gt;$AV181,$AV181,
IF($AU181&gt;$BG181,$AU181,
$BG181*(1+'Factors &amp; Percentages'!$B$24))))</f>
        <v>27422.850000000002</v>
      </c>
      <c r="AX181" s="46">
        <f t="shared" si="24"/>
        <v>27422.850000000002</v>
      </c>
      <c r="AY181" s="69"/>
      <c r="AZ181" s="27"/>
      <c r="BA181" s="21">
        <v>28498.197581529668</v>
      </c>
      <c r="BB181" s="46">
        <v>26714</v>
      </c>
      <c r="BC181" s="119">
        <v>33364</v>
      </c>
      <c r="BD181" s="120">
        <v>31774.999999999996</v>
      </c>
      <c r="BE181" s="120">
        <v>38297.316635058974</v>
      </c>
      <c r="BF181" s="69"/>
      <c r="BG181" s="73">
        <v>19800</v>
      </c>
      <c r="BH181" s="73">
        <v>18000</v>
      </c>
      <c r="BI181" s="117">
        <v>16000</v>
      </c>
      <c r="BJ181" s="47">
        <v>31775</v>
      </c>
      <c r="BK181" s="72">
        <v>31000</v>
      </c>
      <c r="BL181" s="72">
        <v>33000</v>
      </c>
      <c r="BM181" s="72">
        <v>40618</v>
      </c>
    </row>
    <row r="182" spans="1:65" x14ac:dyDescent="0.3">
      <c r="A182" s="121" t="s">
        <v>233</v>
      </c>
      <c r="B182" s="121" t="s">
        <v>233</v>
      </c>
      <c r="C182" s="174" t="s">
        <v>233</v>
      </c>
      <c r="D182" s="122" t="s">
        <v>302</v>
      </c>
      <c r="E182" s="173" t="s">
        <v>316</v>
      </c>
      <c r="F182" s="111"/>
      <c r="G182" s="185">
        <f t="shared" si="30"/>
        <v>14671.333423581786</v>
      </c>
      <c r="H182" s="186"/>
      <c r="I182" s="187">
        <v>20191</v>
      </c>
      <c r="J182" s="188">
        <v>21354</v>
      </c>
      <c r="K182" s="189">
        <v>23363</v>
      </c>
      <c r="L182" s="123">
        <v>17615</v>
      </c>
      <c r="M182" s="123">
        <v>32361</v>
      </c>
      <c r="N182" s="190">
        <v>50485</v>
      </c>
      <c r="O182" s="189">
        <v>53043</v>
      </c>
      <c r="P182" s="188">
        <v>53299</v>
      </c>
      <c r="Q182" s="208">
        <v>49779</v>
      </c>
      <c r="R182" s="123">
        <v>0</v>
      </c>
      <c r="S182" s="188"/>
      <c r="T182" s="187">
        <v>0</v>
      </c>
      <c r="U182" s="188">
        <v>0</v>
      </c>
      <c r="V182" s="189">
        <v>0</v>
      </c>
      <c r="W182" s="123">
        <v>0</v>
      </c>
      <c r="X182" s="190">
        <v>70</v>
      </c>
      <c r="Y182" s="189">
        <v>119</v>
      </c>
      <c r="Z182" s="188">
        <v>0</v>
      </c>
      <c r="AA182" s="123">
        <v>0</v>
      </c>
      <c r="AB182" s="191"/>
      <c r="AC182" s="204">
        <f t="shared" si="31"/>
        <v>20198</v>
      </c>
      <c r="AD182" s="205">
        <f t="shared" si="32"/>
        <v>50485</v>
      </c>
      <c r="AE182" s="204">
        <f>SUM(AC182*'Factors &amp; Percentages'!$E$27+AD182*'Factors &amp; Percentages'!$E$28)</f>
        <v>5224.6066506402012</v>
      </c>
      <c r="AF182" s="16"/>
      <c r="AG182" s="125">
        <v>0.25</v>
      </c>
      <c r="AH182" s="204">
        <f>AG182*'Factors &amp; Percentages'!$E$31</f>
        <v>3274.9615221888735</v>
      </c>
      <c r="AI182" s="18"/>
      <c r="AJ182" s="126">
        <v>1485</v>
      </c>
      <c r="AK182" s="204">
        <f>AJ182*'Factors &amp; Percentages'!$E$34</f>
        <v>3107.1695385630205</v>
      </c>
      <c r="AL182" s="18"/>
      <c r="AM182" s="124">
        <v>18</v>
      </c>
      <c r="AN182" s="211">
        <v>19</v>
      </c>
      <c r="AO182" s="124">
        <v>29</v>
      </c>
      <c r="AP182" s="212">
        <v>0</v>
      </c>
      <c r="AQ182" s="135">
        <v>3449</v>
      </c>
      <c r="AR182" s="179">
        <f t="shared" si="23"/>
        <v>3449</v>
      </c>
      <c r="AS182" s="205">
        <f>AN182*'Factors &amp; Percentages'!$E$37+AP182*'Factors &amp; Percentages'!$E$38+AR182*'Factors &amp; Percentages'!$E$39</f>
        <v>3064.5957121896904</v>
      </c>
      <c r="AT182" s="18"/>
      <c r="AU182" s="203">
        <f t="shared" si="27"/>
        <v>14671.333423581786</v>
      </c>
      <c r="AV182" s="213">
        <f t="shared" si="29"/>
        <v>14671.333423581786</v>
      </c>
      <c r="AW182" s="196">
        <f>IF($BG182&gt;$AV182,$BG182*(1+'Factors &amp; Percentages'!$B$24),
IF($AU182&gt;$AV182,$AV182,
IF($AU182&gt;$BG182,$AU182,
$BG182*(1+'Factors &amp; Percentages'!$B$24))))</f>
        <v>14671.333423581786</v>
      </c>
      <c r="AX182" s="185">
        <f t="shared" si="24"/>
        <v>14671.333423581786</v>
      </c>
      <c r="AY182" s="127"/>
      <c r="AZ182" s="27"/>
      <c r="BA182" s="223">
        <v>14146.500165361187</v>
      </c>
      <c r="BB182" s="185">
        <v>13492</v>
      </c>
      <c r="BC182" s="204">
        <v>11450</v>
      </c>
      <c r="BD182" s="218">
        <v>21034.65</v>
      </c>
      <c r="BE182" s="224">
        <v>17482</v>
      </c>
      <c r="BF182" s="219"/>
      <c r="BG182" s="221">
        <v>14147</v>
      </c>
      <c r="BH182" s="226">
        <v>13492</v>
      </c>
      <c r="BI182" s="220">
        <v>11460</v>
      </c>
      <c r="BJ182" s="227">
        <v>9600</v>
      </c>
      <c r="BK182" s="221">
        <v>8001</v>
      </c>
      <c r="BL182" s="128">
        <v>3853</v>
      </c>
      <c r="BM182" s="128">
        <v>16706</v>
      </c>
    </row>
    <row r="183" spans="1:65" x14ac:dyDescent="0.3">
      <c r="A183" s="111" t="s">
        <v>187</v>
      </c>
      <c r="B183" s="111" t="s">
        <v>187</v>
      </c>
      <c r="C183" s="112" t="s">
        <v>187</v>
      </c>
      <c r="D183" s="113" t="s">
        <v>295</v>
      </c>
      <c r="E183" s="113" t="s">
        <v>296</v>
      </c>
      <c r="F183" s="111"/>
      <c r="G183" s="46">
        <f t="shared" si="30"/>
        <v>16606.695468526385</v>
      </c>
      <c r="H183" s="111"/>
      <c r="I183" s="114">
        <v>25093</v>
      </c>
      <c r="J183" s="47">
        <v>14858</v>
      </c>
      <c r="K183" s="47">
        <v>13978</v>
      </c>
      <c r="L183" s="47">
        <v>15771</v>
      </c>
      <c r="M183" s="47">
        <v>15771</v>
      </c>
      <c r="N183" s="114">
        <v>31301</v>
      </c>
      <c r="O183" s="47">
        <v>14232</v>
      </c>
      <c r="P183" s="47">
        <v>7240</v>
      </c>
      <c r="Q183" s="115">
        <v>4695</v>
      </c>
      <c r="R183" s="47">
        <v>4695</v>
      </c>
      <c r="S183" s="47"/>
      <c r="T183" s="114">
        <v>9750</v>
      </c>
      <c r="U183" s="47">
        <v>9750</v>
      </c>
      <c r="V183" s="47">
        <v>9000</v>
      </c>
      <c r="W183" s="47">
        <v>2012</v>
      </c>
      <c r="X183" s="114">
        <v>0</v>
      </c>
      <c r="Y183" s="47">
        <v>750</v>
      </c>
      <c r="Z183" s="47">
        <v>0</v>
      </c>
      <c r="AA183" s="47">
        <v>23367</v>
      </c>
      <c r="AB183" s="47"/>
      <c r="AC183" s="16">
        <f t="shared" si="31"/>
        <v>25093</v>
      </c>
      <c r="AD183" s="16">
        <f t="shared" si="32"/>
        <v>32276</v>
      </c>
      <c r="AE183" s="16">
        <f>SUM(AC183*'Factors &amp; Percentages'!$E$27+AD183*'Factors &amp; Percentages'!$E$28)</f>
        <v>4445.4937005969896</v>
      </c>
      <c r="AF183" s="16"/>
      <c r="AG183" s="101">
        <v>0.1</v>
      </c>
      <c r="AH183" s="18">
        <f>AG183*'Factors &amp; Percentages'!$E$31</f>
        <v>1309.9846088755494</v>
      </c>
      <c r="AI183" s="18"/>
      <c r="AJ183" s="18">
        <v>3134</v>
      </c>
      <c r="AK183" s="18">
        <f>AJ183*'Factors &amp; Percentages'!$E$34</f>
        <v>6557.4877669067382</v>
      </c>
      <c r="AL183" s="18"/>
      <c r="AM183" s="30">
        <v>21</v>
      </c>
      <c r="AN183" s="30">
        <v>19</v>
      </c>
      <c r="AO183" s="30">
        <v>50</v>
      </c>
      <c r="AP183" s="116">
        <v>46</v>
      </c>
      <c r="AQ183" s="115">
        <v>4186</v>
      </c>
      <c r="AR183" s="115">
        <f t="shared" si="23"/>
        <v>4186</v>
      </c>
      <c r="AS183" s="18">
        <f>AN183*'Factors &amp; Percentages'!$E$37+AP183*'Factors &amp; Percentages'!$E$38+AR183*'Factors &amp; Percentages'!$E$39</f>
        <v>4293.7293921471064</v>
      </c>
      <c r="AT183" s="18"/>
      <c r="AU183" s="18">
        <f t="shared" si="27"/>
        <v>16606.695468526385</v>
      </c>
      <c r="AV183" s="69">
        <f t="shared" si="29"/>
        <v>16606.695468526385</v>
      </c>
      <c r="AW183" s="46">
        <f>IF($BG183&gt;$AV183,$BG183*(1+'Factors &amp; Percentages'!$B$24),
IF($AU183&gt;$AV183,$AV183,
IF($AU183&gt;$BG183,$AU183,
$BG183*(1+'Factors &amp; Percentages'!$B$24))))</f>
        <v>16606.695468526385</v>
      </c>
      <c r="AX183" s="46">
        <f t="shared" si="24"/>
        <v>16606.695468526385</v>
      </c>
      <c r="AY183" s="69"/>
      <c r="AZ183" s="27"/>
      <c r="BA183" s="21">
        <v>9657.7000000000007</v>
      </c>
      <c r="BB183" s="46">
        <v>13782.300000000001</v>
      </c>
      <c r="BC183" s="119">
        <v>13126</v>
      </c>
      <c r="BD183" s="120">
        <v>12500.9</v>
      </c>
      <c r="BE183" s="120">
        <v>22919.699999999997</v>
      </c>
      <c r="BF183" s="69"/>
      <c r="BG183" s="73">
        <v>6480</v>
      </c>
      <c r="BH183" s="73">
        <v>3500</v>
      </c>
      <c r="BI183" s="117">
        <v>13126</v>
      </c>
      <c r="BJ183" s="118">
        <v>12501</v>
      </c>
      <c r="BK183" s="106">
        <v>12196</v>
      </c>
      <c r="BL183" s="106">
        <v>12196</v>
      </c>
      <c r="BM183" s="106">
        <v>11725</v>
      </c>
    </row>
    <row r="184" spans="1:65" x14ac:dyDescent="0.3">
      <c r="A184" s="121" t="s">
        <v>193</v>
      </c>
      <c r="B184" s="121" t="s">
        <v>193</v>
      </c>
      <c r="C184" s="174" t="s">
        <v>193</v>
      </c>
      <c r="D184" s="122" t="s">
        <v>279</v>
      </c>
      <c r="E184" s="173" t="s">
        <v>281</v>
      </c>
      <c r="F184" s="111"/>
      <c r="G184" s="185">
        <f t="shared" si="30"/>
        <v>12118.724506355104</v>
      </c>
      <c r="H184" s="186"/>
      <c r="I184" s="187">
        <v>8286</v>
      </c>
      <c r="J184" s="188">
        <v>5574</v>
      </c>
      <c r="K184" s="189">
        <v>3199</v>
      </c>
      <c r="L184" s="123">
        <v>2191</v>
      </c>
      <c r="M184" s="123">
        <v>2789</v>
      </c>
      <c r="N184" s="190">
        <v>78054</v>
      </c>
      <c r="O184" s="189">
        <v>70446</v>
      </c>
      <c r="P184" s="188">
        <v>43259</v>
      </c>
      <c r="Q184" s="208">
        <v>73125</v>
      </c>
      <c r="R184" s="123">
        <v>46652</v>
      </c>
      <c r="S184" s="188"/>
      <c r="T184" s="187">
        <v>14598</v>
      </c>
      <c r="U184" s="188">
        <v>15485</v>
      </c>
      <c r="V184" s="189">
        <v>10975</v>
      </c>
      <c r="W184" s="123">
        <v>9950</v>
      </c>
      <c r="X184" s="190">
        <v>2193</v>
      </c>
      <c r="Y184" s="189">
        <v>1930</v>
      </c>
      <c r="Z184" s="188">
        <v>2893</v>
      </c>
      <c r="AA184" s="123">
        <v>3891</v>
      </c>
      <c r="AB184" s="191"/>
      <c r="AC184" s="204">
        <f t="shared" si="31"/>
        <v>8505.2999999999993</v>
      </c>
      <c r="AD184" s="205">
        <f t="shared" si="32"/>
        <v>79513.8</v>
      </c>
      <c r="AE184" s="204">
        <f>SUM(AC184*'Factors &amp; Percentages'!$E$27+AD184*'Factors &amp; Percentages'!$E$28)</f>
        <v>6113.7450030182981</v>
      </c>
      <c r="AF184" s="16"/>
      <c r="AG184" s="125">
        <v>0.17</v>
      </c>
      <c r="AH184" s="204">
        <f>AG184*'Factors &amp; Percentages'!$E$31</f>
        <v>2226.973835088434</v>
      </c>
      <c r="AI184" s="18"/>
      <c r="AJ184" s="126">
        <v>956</v>
      </c>
      <c r="AK184" s="204">
        <f>AJ184*'Factors &amp; Percentages'!$E$34</f>
        <v>2000.3057770143082</v>
      </c>
      <c r="AL184" s="18"/>
      <c r="AM184" s="124">
        <v>8</v>
      </c>
      <c r="AN184" s="211">
        <v>9</v>
      </c>
      <c r="AO184" s="124">
        <v>27</v>
      </c>
      <c r="AP184" s="212">
        <v>27</v>
      </c>
      <c r="AQ184" s="135">
        <v>130</v>
      </c>
      <c r="AR184" s="179">
        <f t="shared" si="23"/>
        <v>130</v>
      </c>
      <c r="AS184" s="205">
        <f>AN184*'Factors &amp; Percentages'!$E$37+AP184*'Factors &amp; Percentages'!$E$38+AR184*'Factors &amp; Percentages'!$E$39</f>
        <v>1777.6998912340639</v>
      </c>
      <c r="AT184" s="18"/>
      <c r="AU184" s="203">
        <f t="shared" si="27"/>
        <v>12118.724506355104</v>
      </c>
      <c r="AV184" s="213">
        <f t="shared" ref="AV184:AV209" si="33">IF($N184&gt;($J184+$K184+$I184)/3,$AU184,MIN(AU184,$I184*0.65))</f>
        <v>12118.724506355104</v>
      </c>
      <c r="AW184" s="196">
        <f>IF($BG184&gt;$AV184,$BG184*(1+'Factors &amp; Percentages'!$B$24),
IF($AU184&gt;$AV184,$AV184,
IF($AU184&gt;$BG184,$AU184,
$BG184*(1+'Factors &amp; Percentages'!$B$24))))</f>
        <v>12118.724506355104</v>
      </c>
      <c r="AX184" s="185">
        <f t="shared" si="24"/>
        <v>12118.724506355104</v>
      </c>
      <c r="AY184" s="127"/>
      <c r="AZ184" s="27"/>
      <c r="BA184" s="223">
        <v>10167.011092489094</v>
      </c>
      <c r="BB184" s="185">
        <v>9160</v>
      </c>
      <c r="BC184" s="204">
        <v>1424</v>
      </c>
      <c r="BD184" s="218">
        <v>1812.8500000000001</v>
      </c>
      <c r="BE184" s="224">
        <v>5058.6000000000004</v>
      </c>
      <c r="BF184" s="219"/>
      <c r="BG184" s="221">
        <v>1025</v>
      </c>
      <c r="BH184" s="226">
        <v>975</v>
      </c>
      <c r="BI184" s="220">
        <v>925</v>
      </c>
      <c r="BJ184" s="227">
        <v>810</v>
      </c>
      <c r="BK184" s="221">
        <v>1020</v>
      </c>
      <c r="BL184" s="128">
        <v>695</v>
      </c>
      <c r="BM184" s="128">
        <v>661.5</v>
      </c>
    </row>
    <row r="185" spans="1:65" x14ac:dyDescent="0.3">
      <c r="A185" s="111" t="s">
        <v>194</v>
      </c>
      <c r="B185" s="111" t="s">
        <v>194</v>
      </c>
      <c r="C185" s="112" t="s">
        <v>194</v>
      </c>
      <c r="D185" s="113" t="s">
        <v>279</v>
      </c>
      <c r="E185" s="113" t="s">
        <v>279</v>
      </c>
      <c r="F185" s="111"/>
      <c r="G185" s="46">
        <f t="shared" si="30"/>
        <v>10363.660825566618</v>
      </c>
      <c r="H185" s="111"/>
      <c r="I185" s="114">
        <v>16809</v>
      </c>
      <c r="J185" s="47">
        <v>17039</v>
      </c>
      <c r="K185" s="47">
        <v>16089</v>
      </c>
      <c r="L185" s="47">
        <v>15107</v>
      </c>
      <c r="M185" s="47">
        <v>16063</v>
      </c>
      <c r="N185" s="114">
        <v>14575</v>
      </c>
      <c r="O185" s="47">
        <v>12350</v>
      </c>
      <c r="P185" s="47">
        <v>13315</v>
      </c>
      <c r="Q185" s="115">
        <v>13185</v>
      </c>
      <c r="R185" s="47">
        <v>15428</v>
      </c>
      <c r="S185" s="47"/>
      <c r="T185" s="114">
        <v>19059</v>
      </c>
      <c r="U185" s="47">
        <v>17192</v>
      </c>
      <c r="V185" s="47">
        <v>36510</v>
      </c>
      <c r="W185" s="47">
        <v>24496</v>
      </c>
      <c r="X185" s="114">
        <v>0</v>
      </c>
      <c r="Y185" s="47">
        <v>178</v>
      </c>
      <c r="Z185" s="47">
        <v>3990</v>
      </c>
      <c r="AA185" s="47">
        <v>2549</v>
      </c>
      <c r="AB185" s="47"/>
      <c r="AC185" s="16">
        <f t="shared" si="31"/>
        <v>16809</v>
      </c>
      <c r="AD185" s="16">
        <f t="shared" si="32"/>
        <v>16480.900000000001</v>
      </c>
      <c r="AE185" s="16">
        <f>SUM(AC185*'Factors &amp; Percentages'!$E$27+AD185*'Factors &amp; Percentages'!$E$28)</f>
        <v>2632.5938021374523</v>
      </c>
      <c r="AF185" s="16"/>
      <c r="AG185" s="101">
        <v>0.25</v>
      </c>
      <c r="AH185" s="18">
        <f>AG185*'Factors &amp; Percentages'!$E$31</f>
        <v>3274.9615221888735</v>
      </c>
      <c r="AI185" s="18"/>
      <c r="AJ185" s="18">
        <v>1013</v>
      </c>
      <c r="AK185" s="18">
        <f>AJ185*'Factors &amp; Percentages'!$E$34</f>
        <v>2119.5708704136969</v>
      </c>
      <c r="AL185" s="18"/>
      <c r="AM185" s="30">
        <v>10</v>
      </c>
      <c r="AN185" s="30">
        <v>10</v>
      </c>
      <c r="AO185" s="30">
        <v>24</v>
      </c>
      <c r="AP185" s="116">
        <v>25</v>
      </c>
      <c r="AQ185" s="115">
        <v>2488</v>
      </c>
      <c r="AR185" s="115">
        <f t="shared" si="23"/>
        <v>2488</v>
      </c>
      <c r="AS185" s="18">
        <f>AN185*'Factors &amp; Percentages'!$E$37+AP185*'Factors &amp; Percentages'!$E$38+AR185*'Factors &amp; Percentages'!$E$39</f>
        <v>2336.5346308265953</v>
      </c>
      <c r="AT185" s="18"/>
      <c r="AU185" s="18">
        <f t="shared" si="27"/>
        <v>10363.660825566618</v>
      </c>
      <c r="AV185" s="69">
        <f t="shared" si="33"/>
        <v>10363.660825566618</v>
      </c>
      <c r="AW185" s="46">
        <f>IF($BG185&gt;$AV185,$BG185*(1+'Factors &amp; Percentages'!$B$24),
IF($AU185&gt;$AV185,$AV185,
IF($AU185&gt;$BG185,$AU185,
$BG185*(1+'Factors &amp; Percentages'!$B$24))))</f>
        <v>10363.660825566618</v>
      </c>
      <c r="AX185" s="46">
        <f t="shared" si="24"/>
        <v>10363.660825566618</v>
      </c>
      <c r="AY185" s="69"/>
      <c r="AZ185" s="27"/>
      <c r="BA185" s="21">
        <v>9304.7008179187105</v>
      </c>
      <c r="BB185" s="46">
        <v>9315</v>
      </c>
      <c r="BC185" s="119">
        <v>9820</v>
      </c>
      <c r="BD185" s="120">
        <v>10440.950000000001</v>
      </c>
      <c r="BE185" s="120">
        <v>10836.443069923334</v>
      </c>
      <c r="BF185" s="69"/>
      <c r="BG185" s="73">
        <v>5000</v>
      </c>
      <c r="BH185" s="73">
        <v>5000</v>
      </c>
      <c r="BI185" s="117">
        <v>9200</v>
      </c>
      <c r="BJ185" s="118">
        <v>9200</v>
      </c>
      <c r="BK185" s="106">
        <v>9200</v>
      </c>
      <c r="BL185" s="106">
        <v>9200</v>
      </c>
      <c r="BM185" s="106">
        <v>9000</v>
      </c>
    </row>
    <row r="186" spans="1:65" x14ac:dyDescent="0.3">
      <c r="A186" s="121" t="s">
        <v>30</v>
      </c>
      <c r="B186" s="121" t="s">
        <v>30</v>
      </c>
      <c r="C186" s="174" t="s">
        <v>30</v>
      </c>
      <c r="D186" s="122" t="s">
        <v>279</v>
      </c>
      <c r="E186" s="173" t="s">
        <v>279</v>
      </c>
      <c r="F186" s="111"/>
      <c r="G186" s="185">
        <f t="shared" ref="G186:G209" si="34">+AX186</f>
        <v>17738.5</v>
      </c>
      <c r="H186" s="186"/>
      <c r="I186" s="187">
        <v>27290</v>
      </c>
      <c r="J186" s="188">
        <v>33511</v>
      </c>
      <c r="K186" s="189">
        <v>27277</v>
      </c>
      <c r="L186" s="123">
        <v>25434</v>
      </c>
      <c r="M186" s="123">
        <v>31435</v>
      </c>
      <c r="N186" s="190">
        <v>6144</v>
      </c>
      <c r="O186" s="189">
        <v>2618</v>
      </c>
      <c r="P186" s="188">
        <v>5086</v>
      </c>
      <c r="Q186" s="208">
        <v>31114</v>
      </c>
      <c r="R186" s="123">
        <v>1404</v>
      </c>
      <c r="S186" s="188"/>
      <c r="T186" s="187">
        <v>13569</v>
      </c>
      <c r="U186" s="188">
        <v>12431</v>
      </c>
      <c r="V186" s="189">
        <v>0</v>
      </c>
      <c r="W186" s="123">
        <v>0</v>
      </c>
      <c r="X186" s="190">
        <v>124</v>
      </c>
      <c r="Y186" s="189">
        <v>12431</v>
      </c>
      <c r="Z186" s="188">
        <v>0</v>
      </c>
      <c r="AA186" s="123">
        <v>0</v>
      </c>
      <c r="AB186" s="191"/>
      <c r="AC186" s="204">
        <f t="shared" si="31"/>
        <v>27302.400000000001</v>
      </c>
      <c r="AD186" s="205">
        <f t="shared" si="32"/>
        <v>7500.9</v>
      </c>
      <c r="AE186" s="204">
        <f>SUM(AC186*'Factors &amp; Percentages'!$E$27+AD186*'Factors &amp; Percentages'!$E$28)</f>
        <v>2981.5448495699407</v>
      </c>
      <c r="AF186" s="16"/>
      <c r="AG186" s="125">
        <v>0.25</v>
      </c>
      <c r="AH186" s="204">
        <f>AG186*'Factors &amp; Percentages'!$E$31</f>
        <v>3274.9615221888735</v>
      </c>
      <c r="AI186" s="18"/>
      <c r="AJ186" s="126">
        <v>3466</v>
      </c>
      <c r="AK186" s="204">
        <f>AJ186*'Factors &amp; Percentages'!$E$34</f>
        <v>7252.154626706686</v>
      </c>
      <c r="AL186" s="18"/>
      <c r="AM186" s="124">
        <v>22</v>
      </c>
      <c r="AN186" s="211">
        <v>23</v>
      </c>
      <c r="AO186" s="124">
        <v>66</v>
      </c>
      <c r="AP186" s="212">
        <v>42</v>
      </c>
      <c r="AQ186" s="135">
        <v>2147</v>
      </c>
      <c r="AR186" s="179">
        <f t="shared" si="23"/>
        <v>2147</v>
      </c>
      <c r="AS186" s="205">
        <f>AN186*'Factors &amp; Percentages'!$E$37+AP186*'Factors &amp; Percentages'!$E$38+AR186*'Factors &amp; Percentages'!$E$39</f>
        <v>4280.4763294577087</v>
      </c>
      <c r="AT186" s="18"/>
      <c r="AU186" s="203">
        <f t="shared" si="27"/>
        <v>17789.13732792321</v>
      </c>
      <c r="AV186" s="213">
        <f t="shared" si="33"/>
        <v>17738.5</v>
      </c>
      <c r="AW186" s="196">
        <f>IF($BG186&gt;$AV186,$BG186*(1+'Factors &amp; Percentages'!$B$24),
IF($AU186&gt;$AV186,$AV186,
IF($AU186&gt;$BG186,$AU186,
$BG186*(1+'Factors &amp; Percentages'!$B$24))))</f>
        <v>17738.5</v>
      </c>
      <c r="AX186" s="185">
        <f t="shared" si="24"/>
        <v>17738.5</v>
      </c>
      <c r="AY186" s="127"/>
      <c r="AZ186" s="27"/>
      <c r="BA186" s="223">
        <v>14700</v>
      </c>
      <c r="BB186" s="185">
        <v>19845</v>
      </c>
      <c r="BC186" s="204">
        <v>18900</v>
      </c>
      <c r="BD186" s="218">
        <v>20142.61260890495</v>
      </c>
      <c r="BE186" s="224">
        <v>19210.55</v>
      </c>
      <c r="BF186" s="219"/>
      <c r="BG186" s="221">
        <v>14000</v>
      </c>
      <c r="BH186" s="226">
        <v>14000</v>
      </c>
      <c r="BI186" s="220">
        <v>18900</v>
      </c>
      <c r="BJ186" s="227">
        <v>18000</v>
      </c>
      <c r="BK186" s="221">
        <v>19211</v>
      </c>
      <c r="BL186" s="128">
        <v>18742</v>
      </c>
      <c r="BM186" s="128">
        <v>17850</v>
      </c>
    </row>
    <row r="187" spans="1:65" x14ac:dyDescent="0.3">
      <c r="A187" s="111" t="s">
        <v>470</v>
      </c>
      <c r="B187" s="111" t="s">
        <v>31</v>
      </c>
      <c r="C187" s="112" t="s">
        <v>31</v>
      </c>
      <c r="D187" s="113" t="s">
        <v>279</v>
      </c>
      <c r="E187" s="113" t="s">
        <v>279</v>
      </c>
      <c r="F187" s="111"/>
      <c r="G187" s="46">
        <f t="shared" si="34"/>
        <v>20496.245804569582</v>
      </c>
      <c r="H187" s="111"/>
      <c r="I187" s="114">
        <v>41952</v>
      </c>
      <c r="J187" s="47">
        <v>49657</v>
      </c>
      <c r="K187" s="47">
        <v>43064</v>
      </c>
      <c r="L187" s="47">
        <v>40604</v>
      </c>
      <c r="M187" s="47">
        <v>32596</v>
      </c>
      <c r="N187" s="114">
        <v>1864</v>
      </c>
      <c r="O187" s="47">
        <v>2407</v>
      </c>
      <c r="P187" s="47">
        <v>8578</v>
      </c>
      <c r="Q187" s="115">
        <v>31676</v>
      </c>
      <c r="R187" s="47">
        <v>26239</v>
      </c>
      <c r="S187" s="47"/>
      <c r="T187" s="114">
        <v>25102</v>
      </c>
      <c r="U187" s="47">
        <v>35162</v>
      </c>
      <c r="V187" s="47">
        <v>11141</v>
      </c>
      <c r="W187" s="47">
        <v>19142</v>
      </c>
      <c r="X187" s="114">
        <v>0</v>
      </c>
      <c r="Y187" s="47">
        <v>0</v>
      </c>
      <c r="Z187" s="47">
        <v>4606</v>
      </c>
      <c r="AA187" s="47">
        <v>441</v>
      </c>
      <c r="AB187" s="47"/>
      <c r="AC187" s="16">
        <f t="shared" si="31"/>
        <v>41952</v>
      </c>
      <c r="AD187" s="16">
        <f t="shared" si="32"/>
        <v>4374.2000000000007</v>
      </c>
      <c r="AE187" s="16">
        <f>SUM(AC187*'Factors &amp; Percentages'!$E$27+AD187*'Factors &amp; Percentages'!$E$28)</f>
        <v>4100.8972356002205</v>
      </c>
      <c r="AF187" s="16"/>
      <c r="AG187" s="101">
        <v>0.5</v>
      </c>
      <c r="AH187" s="18">
        <f>AG187*'Factors &amp; Percentages'!$E$31</f>
        <v>6549.9230443777469</v>
      </c>
      <c r="AI187" s="18"/>
      <c r="AJ187" s="18">
        <v>1041</v>
      </c>
      <c r="AK187" s="18">
        <f>AJ187*'Factors &amp; Percentages'!$E$34</f>
        <v>2178.1572320835721</v>
      </c>
      <c r="AL187" s="18"/>
      <c r="AM187" s="137">
        <v>32</v>
      </c>
      <c r="AN187" s="30">
        <v>32</v>
      </c>
      <c r="AO187" s="137">
        <v>93</v>
      </c>
      <c r="AP187" s="116">
        <v>93</v>
      </c>
      <c r="AQ187" s="115">
        <v>7401</v>
      </c>
      <c r="AR187" s="115">
        <f t="shared" si="23"/>
        <v>7401</v>
      </c>
      <c r="AS187" s="18">
        <f>AN187*'Factors &amp; Percentages'!$E$37+AP187*'Factors &amp; Percentages'!$E$38+AR187*'Factors &amp; Percentages'!$E$39</f>
        <v>7667.2682925080389</v>
      </c>
      <c r="AT187" s="18"/>
      <c r="AU187" s="18">
        <f t="shared" si="27"/>
        <v>20496.245804569582</v>
      </c>
      <c r="AV187" s="69">
        <f t="shared" si="33"/>
        <v>20496.245804569582</v>
      </c>
      <c r="AW187" s="46">
        <f>IF($BG187&gt;$AV187,$BG187*(1+'Factors &amp; Percentages'!$B$24),
IF($AU187&gt;$AV187,$AV187,
IF($AU187&gt;$BG187,$AU187,
$BG187*(1+'Factors &amp; Percentages'!$B$24))))</f>
        <v>20496.245804569582</v>
      </c>
      <c r="AX187" s="46">
        <f t="shared" si="24"/>
        <v>20496.245804569582</v>
      </c>
      <c r="AY187" s="69"/>
      <c r="AZ187" s="27"/>
      <c r="BA187" s="21">
        <v>19443.533800559402</v>
      </c>
      <c r="BB187" s="46">
        <v>18900</v>
      </c>
      <c r="BC187" s="119">
        <v>26393</v>
      </c>
      <c r="BD187" s="120">
        <v>21187.4</v>
      </c>
      <c r="BE187" s="120">
        <v>21707.835106091476</v>
      </c>
      <c r="BF187" s="69"/>
      <c r="BG187" s="73">
        <v>19444</v>
      </c>
      <c r="BH187" s="73">
        <v>18900</v>
      </c>
      <c r="BI187" s="117">
        <v>18000</v>
      </c>
      <c r="BJ187" s="118">
        <v>18000</v>
      </c>
      <c r="BK187" s="106">
        <v>17000</v>
      </c>
      <c r="BL187" s="106">
        <v>17000</v>
      </c>
      <c r="BM187" s="106">
        <v>16500</v>
      </c>
    </row>
    <row r="188" spans="1:65" x14ac:dyDescent="0.3">
      <c r="A188" s="121" t="s">
        <v>471</v>
      </c>
      <c r="B188" s="121" t="s">
        <v>471</v>
      </c>
      <c r="C188" s="174" t="s">
        <v>211</v>
      </c>
      <c r="D188" s="122" t="s">
        <v>279</v>
      </c>
      <c r="E188" s="173" t="s">
        <v>280</v>
      </c>
      <c r="F188" s="111"/>
      <c r="G188" s="185">
        <f t="shared" si="34"/>
        <v>81852.75</v>
      </c>
      <c r="H188" s="186"/>
      <c r="I188" s="187">
        <v>156806</v>
      </c>
      <c r="J188" s="188">
        <v>152484</v>
      </c>
      <c r="K188" s="189">
        <v>134822</v>
      </c>
      <c r="L188" s="123">
        <v>145550</v>
      </c>
      <c r="M188" s="123">
        <v>82748</v>
      </c>
      <c r="N188" s="190">
        <v>110050</v>
      </c>
      <c r="O188" s="189">
        <v>143565</v>
      </c>
      <c r="P188" s="188">
        <v>147346</v>
      </c>
      <c r="Q188" s="208">
        <v>126040</v>
      </c>
      <c r="R188" s="123">
        <v>110924</v>
      </c>
      <c r="S188" s="188"/>
      <c r="T188" s="187">
        <v>117755</v>
      </c>
      <c r="U188" s="188">
        <v>127000</v>
      </c>
      <c r="V188" s="189">
        <v>172019</v>
      </c>
      <c r="W188" s="123">
        <v>81263</v>
      </c>
      <c r="X188" s="190">
        <v>24346</v>
      </c>
      <c r="Y188" s="189">
        <v>25912</v>
      </c>
      <c r="Z188" s="188">
        <v>11225</v>
      </c>
      <c r="AA188" s="123">
        <v>2836</v>
      </c>
      <c r="AB188" s="191"/>
      <c r="AC188" s="204">
        <f t="shared" si="31"/>
        <v>159240.6</v>
      </c>
      <c r="AD188" s="205">
        <f t="shared" si="32"/>
        <v>121825.5</v>
      </c>
      <c r="AE188" s="204">
        <f>SUM(AC188*'Factors &amp; Percentages'!$E$27+AD188*'Factors &amp; Percentages'!$E$28)</f>
        <v>22635.152974824297</v>
      </c>
      <c r="AF188" s="16"/>
      <c r="AG188" s="125">
        <v>1.5</v>
      </c>
      <c r="AH188" s="204">
        <f>AG188*'Factors &amp; Percentages'!$E$31</f>
        <v>19649.769133133239</v>
      </c>
      <c r="AI188" s="18"/>
      <c r="AJ188" s="126">
        <v>3022</v>
      </c>
      <c r="AK188" s="204">
        <f>AJ188*'Factors &amp; Percentages'!$E$34</f>
        <v>6323.1423202272372</v>
      </c>
      <c r="AL188" s="18"/>
      <c r="AM188" s="124">
        <v>126</v>
      </c>
      <c r="AN188" s="211">
        <v>144</v>
      </c>
      <c r="AO188" s="124">
        <v>186</v>
      </c>
      <c r="AP188" s="212">
        <v>190</v>
      </c>
      <c r="AQ188" s="135">
        <v>15363</v>
      </c>
      <c r="AR188" s="179">
        <f t="shared" si="23"/>
        <v>15363</v>
      </c>
      <c r="AS188" s="205">
        <f>AN188*'Factors &amp; Percentages'!$E$37+AP188*'Factors &amp; Percentages'!$E$38+AR188*'Factors &amp; Percentages'!$E$39</f>
        <v>25481.024137644486</v>
      </c>
      <c r="AT188" s="18"/>
      <c r="AU188" s="203">
        <f t="shared" si="27"/>
        <v>74089.088565829254</v>
      </c>
      <c r="AV188" s="213">
        <f t="shared" si="33"/>
        <v>74089.088565829254</v>
      </c>
      <c r="AW188" s="196">
        <f>IF($BG188&gt;$AV188,$BG188*(1+'Factors &amp; Percentages'!$B$24),
IF($AU188&gt;$AV188,$AV188,
IF($AU188&gt;$BG188,$AU188,
$BG188*(1+'Factors &amp; Percentages'!$B$24))))</f>
        <v>81852.75</v>
      </c>
      <c r="AX188" s="185">
        <f t="shared" si="24"/>
        <v>81852.75</v>
      </c>
      <c r="AY188" s="127"/>
      <c r="AZ188" s="27"/>
      <c r="BA188" s="223">
        <v>79931.25</v>
      </c>
      <c r="BB188" s="185">
        <v>76125</v>
      </c>
      <c r="BC188" s="204">
        <v>86514</v>
      </c>
      <c r="BD188" s="218">
        <v>53786.200000000004</v>
      </c>
      <c r="BE188" s="224">
        <v>82000</v>
      </c>
      <c r="BF188" s="219"/>
      <c r="BG188" s="221">
        <v>77955</v>
      </c>
      <c r="BH188" s="226">
        <v>76125</v>
      </c>
      <c r="BI188" s="220">
        <v>72500</v>
      </c>
      <c r="BJ188" s="227">
        <v>54500</v>
      </c>
      <c r="BK188" s="221">
        <v>52895</v>
      </c>
      <c r="BL188" s="128">
        <v>80000</v>
      </c>
      <c r="BM188" s="128">
        <v>76046</v>
      </c>
    </row>
    <row r="189" spans="1:65" x14ac:dyDescent="0.3">
      <c r="A189" s="111" t="s">
        <v>472</v>
      </c>
      <c r="B189" s="111" t="s">
        <v>109</v>
      </c>
      <c r="C189" s="112" t="s">
        <v>109</v>
      </c>
      <c r="D189" s="113" t="s">
        <v>295</v>
      </c>
      <c r="E189" s="113" t="s">
        <v>295</v>
      </c>
      <c r="F189" s="111"/>
      <c r="G189" s="46">
        <f t="shared" si="34"/>
        <v>14553</v>
      </c>
      <c r="H189" s="111"/>
      <c r="I189" s="114">
        <v>18360</v>
      </c>
      <c r="J189" s="47">
        <v>20363</v>
      </c>
      <c r="K189" s="47">
        <v>21308</v>
      </c>
      <c r="L189" s="47">
        <v>15620</v>
      </c>
      <c r="M189" s="47">
        <v>17273</v>
      </c>
      <c r="N189" s="114">
        <v>7907</v>
      </c>
      <c r="O189" s="47">
        <v>10946</v>
      </c>
      <c r="P189" s="47">
        <v>11958</v>
      </c>
      <c r="Q189" s="115">
        <v>10519</v>
      </c>
      <c r="R189" s="47">
        <v>15175</v>
      </c>
      <c r="S189" s="47"/>
      <c r="T189" s="114">
        <v>3748</v>
      </c>
      <c r="U189" s="47">
        <v>814</v>
      </c>
      <c r="V189" s="47">
        <v>694</v>
      </c>
      <c r="W189" s="47">
        <v>549</v>
      </c>
      <c r="X189" s="114">
        <v>0</v>
      </c>
      <c r="Y189" s="47">
        <v>120</v>
      </c>
      <c r="Z189" s="47">
        <v>145</v>
      </c>
      <c r="AA189" s="47">
        <v>0</v>
      </c>
      <c r="AB189" s="47"/>
      <c r="AC189" s="16">
        <f t="shared" si="31"/>
        <v>18360</v>
      </c>
      <c r="AD189" s="16">
        <f t="shared" si="32"/>
        <v>8281.7999999999993</v>
      </c>
      <c r="AE189" s="16">
        <f>SUM(AC189*'Factors &amp; Percentages'!$E$27+AD189*'Factors &amp; Percentages'!$E$28)</f>
        <v>2222.509181121151</v>
      </c>
      <c r="AF189" s="16"/>
      <c r="AG189" s="101">
        <v>0.33333333333333331</v>
      </c>
      <c r="AH189" s="18">
        <f>AG189*'Factors &amp; Percentages'!$E$31</f>
        <v>4366.6153629184973</v>
      </c>
      <c r="AI189" s="18"/>
      <c r="AJ189" s="18">
        <v>1445</v>
      </c>
      <c r="AK189" s="18">
        <f>AJ189*'Factors &amp; Percentages'!$E$34</f>
        <v>3023.4747361774844</v>
      </c>
      <c r="AL189" s="18"/>
      <c r="AM189" s="30">
        <v>10</v>
      </c>
      <c r="AN189" s="30">
        <v>8</v>
      </c>
      <c r="AO189" s="30">
        <v>31</v>
      </c>
      <c r="AP189" s="116">
        <v>0</v>
      </c>
      <c r="AQ189" s="115">
        <v>4836</v>
      </c>
      <c r="AR189" s="115">
        <f t="shared" si="23"/>
        <v>4836</v>
      </c>
      <c r="AS189" s="18">
        <f>AN189*'Factors &amp; Percentages'!$E$37+AP189*'Factors &amp; Percentages'!$E$38+AR189*'Factors &amp; Percentages'!$E$39</f>
        <v>1981.3283798586419</v>
      </c>
      <c r="AT189" s="18"/>
      <c r="AU189" s="18">
        <f t="shared" si="27"/>
        <v>11593.927660075775</v>
      </c>
      <c r="AV189" s="69">
        <f t="shared" si="33"/>
        <v>11593.927660075775</v>
      </c>
      <c r="AW189" s="46">
        <f>IF($BG189&gt;$AV189,$BG189*(1+'Factors &amp; Percentages'!$B$24),
IF($AU189&gt;$AV189,$AV189,
IF($AU189&gt;$BG189,$AU189,
$BG189*(1+'Factors &amp; Percentages'!$B$24))))</f>
        <v>14553</v>
      </c>
      <c r="AX189" s="46">
        <f t="shared" si="24"/>
        <v>14553</v>
      </c>
      <c r="AY189" s="69"/>
      <c r="AZ189" s="27"/>
      <c r="BA189" s="21">
        <v>14553</v>
      </c>
      <c r="BB189" s="46">
        <v>14553</v>
      </c>
      <c r="BC189" s="119">
        <v>14553</v>
      </c>
      <c r="BD189" s="120">
        <v>14206.499999999998</v>
      </c>
      <c r="BE189" s="120">
        <v>14055.824999999999</v>
      </c>
      <c r="BF189" s="69"/>
      <c r="BG189" s="73">
        <v>13860</v>
      </c>
      <c r="BH189" s="73">
        <v>13860</v>
      </c>
      <c r="BI189" s="117">
        <v>13860</v>
      </c>
      <c r="BJ189" s="118">
        <v>13860</v>
      </c>
      <c r="BK189" s="106">
        <v>13860</v>
      </c>
      <c r="BL189" s="106">
        <v>13713</v>
      </c>
      <c r="BM189" s="106">
        <v>13352</v>
      </c>
    </row>
    <row r="190" spans="1:65" x14ac:dyDescent="0.3">
      <c r="A190" s="121" t="s">
        <v>473</v>
      </c>
      <c r="B190" s="121" t="s">
        <v>473</v>
      </c>
      <c r="C190" s="175" t="s">
        <v>68</v>
      </c>
      <c r="D190" s="122" t="s">
        <v>302</v>
      </c>
      <c r="E190" s="173" t="s">
        <v>299</v>
      </c>
      <c r="F190" s="111"/>
      <c r="G190" s="185">
        <f t="shared" si="34"/>
        <v>29873.350000000002</v>
      </c>
      <c r="H190" s="186"/>
      <c r="I190" s="187">
        <v>45959</v>
      </c>
      <c r="J190" s="188">
        <v>58091</v>
      </c>
      <c r="K190" s="189">
        <v>57838</v>
      </c>
      <c r="L190" s="123">
        <v>36686</v>
      </c>
      <c r="M190" s="123">
        <v>42947</v>
      </c>
      <c r="N190" s="190">
        <v>20532</v>
      </c>
      <c r="O190" s="189">
        <v>21857</v>
      </c>
      <c r="P190" s="188">
        <v>33277</v>
      </c>
      <c r="Q190" s="208">
        <v>18337</v>
      </c>
      <c r="R190" s="123">
        <v>14657</v>
      </c>
      <c r="S190" s="188"/>
      <c r="T190" s="187">
        <v>23054</v>
      </c>
      <c r="U190" s="188">
        <v>17814</v>
      </c>
      <c r="V190" s="189">
        <v>18210</v>
      </c>
      <c r="W190" s="123">
        <v>50291</v>
      </c>
      <c r="X190" s="190">
        <v>13610</v>
      </c>
      <c r="Y190" s="189">
        <v>6730</v>
      </c>
      <c r="Z190" s="188">
        <v>3744</v>
      </c>
      <c r="AA190" s="123">
        <v>3761</v>
      </c>
      <c r="AB190" s="191"/>
      <c r="AC190" s="204">
        <f t="shared" si="31"/>
        <v>47320</v>
      </c>
      <c r="AD190" s="205">
        <f t="shared" si="32"/>
        <v>22837.4</v>
      </c>
      <c r="AE190" s="204">
        <f>SUM(AC190*'Factors &amp; Percentages'!$E$27+AD190*'Factors &amp; Percentages'!$E$28)</f>
        <v>5828.4269788079446</v>
      </c>
      <c r="AF190" s="16"/>
      <c r="AG190" s="125">
        <v>1</v>
      </c>
      <c r="AH190" s="204">
        <f>AG190*'Factors &amp; Percentages'!$E$31</f>
        <v>13099.846088755494</v>
      </c>
      <c r="AI190" s="18"/>
      <c r="AJ190" s="126">
        <v>1402</v>
      </c>
      <c r="AK190" s="204">
        <f>AJ190*'Factors &amp; Percentages'!$E$34</f>
        <v>2933.5028236130333</v>
      </c>
      <c r="AL190" s="18"/>
      <c r="AM190" s="124">
        <v>44</v>
      </c>
      <c r="AN190" s="211">
        <v>43</v>
      </c>
      <c r="AO190" s="124">
        <v>75</v>
      </c>
      <c r="AP190" s="212">
        <v>63</v>
      </c>
      <c r="AQ190" s="135">
        <v>14505</v>
      </c>
      <c r="AR190" s="179">
        <f t="shared" si="23"/>
        <v>14505</v>
      </c>
      <c r="AS190" s="205">
        <f>AN190*'Factors &amp; Percentages'!$E$37+AP190*'Factors &amp; Percentages'!$E$38+AR190*'Factors &amp; Percentages'!$E$39</f>
        <v>9780.9446523911465</v>
      </c>
      <c r="AT190" s="18"/>
      <c r="AU190" s="203">
        <f t="shared" si="27"/>
        <v>31642.720543567619</v>
      </c>
      <c r="AV190" s="213">
        <f t="shared" si="33"/>
        <v>29873.350000000002</v>
      </c>
      <c r="AW190" s="196">
        <f>IF($BG190&gt;$AV190,$BG190*(1+'Factors &amp; Percentages'!$B$24),
IF($AU190&gt;$AV190,$AV190,
IF($AU190&gt;$BG190,$AU190,
$BG190*(1+'Factors &amp; Percentages'!$B$24))))</f>
        <v>29873.350000000002</v>
      </c>
      <c r="AX190" s="185">
        <f t="shared" si="24"/>
        <v>29873.350000000002</v>
      </c>
      <c r="AY190" s="127"/>
      <c r="AZ190" s="27"/>
      <c r="BA190" s="223">
        <v>30273.182360531631</v>
      </c>
      <c r="BB190" s="185">
        <v>27816</v>
      </c>
      <c r="BC190" s="204">
        <v>23846</v>
      </c>
      <c r="BD190" s="218">
        <v>27915.55</v>
      </c>
      <c r="BE190" s="224">
        <v>31166.13034734039</v>
      </c>
      <c r="BF190" s="219"/>
      <c r="BG190" s="221">
        <v>21000</v>
      </c>
      <c r="BH190" s="226">
        <v>20000</v>
      </c>
      <c r="BI190" s="220">
        <v>18000</v>
      </c>
      <c r="BJ190" s="227">
        <v>15000</v>
      </c>
      <c r="BK190" s="221">
        <v>25480</v>
      </c>
      <c r="BL190" s="128">
        <v>24000</v>
      </c>
      <c r="BM190" s="128">
        <v>23690</v>
      </c>
    </row>
    <row r="191" spans="1:65" x14ac:dyDescent="0.3">
      <c r="A191" s="111"/>
      <c r="B191" s="111"/>
      <c r="C191" s="112" t="s">
        <v>235</v>
      </c>
      <c r="D191" s="113" t="s">
        <v>279</v>
      </c>
      <c r="E191" s="113" t="s">
        <v>280</v>
      </c>
      <c r="F191" s="111"/>
      <c r="G191" s="46">
        <f t="shared" si="34"/>
        <v>38596.650682585787</v>
      </c>
      <c r="H191" s="111"/>
      <c r="I191" s="114">
        <v>13119</v>
      </c>
      <c r="J191" s="47">
        <v>13119</v>
      </c>
      <c r="K191" s="47">
        <v>23669</v>
      </c>
      <c r="L191" s="47">
        <v>8999</v>
      </c>
      <c r="M191" s="47">
        <v>2036</v>
      </c>
      <c r="N191" s="114">
        <v>38560</v>
      </c>
      <c r="O191" s="47">
        <v>38560</v>
      </c>
      <c r="P191" s="47">
        <v>30273</v>
      </c>
      <c r="Q191" s="115">
        <v>12672</v>
      </c>
      <c r="R191" s="47">
        <v>0</v>
      </c>
      <c r="S191" s="47"/>
      <c r="T191" s="114">
        <v>0</v>
      </c>
      <c r="U191" s="47">
        <v>0</v>
      </c>
      <c r="V191" s="47">
        <v>0</v>
      </c>
      <c r="W191" s="47">
        <v>0</v>
      </c>
      <c r="X191" s="114">
        <v>0</v>
      </c>
      <c r="Y191" s="47">
        <v>0</v>
      </c>
      <c r="Z191" s="47">
        <v>238</v>
      </c>
      <c r="AA191" s="47">
        <v>0</v>
      </c>
      <c r="AB191" s="47"/>
      <c r="AC191" s="16">
        <f t="shared" si="31"/>
        <v>13119</v>
      </c>
      <c r="AD191" s="16">
        <f t="shared" si="32"/>
        <v>38560</v>
      </c>
      <c r="AE191" s="16">
        <f>SUM(AC191*'Factors &amp; Percentages'!$E$27+AD191*'Factors &amp; Percentages'!$E$28)</f>
        <v>3781.0590441320319</v>
      </c>
      <c r="AF191" s="16"/>
      <c r="AG191" s="101">
        <v>1</v>
      </c>
      <c r="AH191" s="18">
        <f>AG191*'Factors &amp; Percentages'!$E$31</f>
        <v>13099.846088755494</v>
      </c>
      <c r="AI191" s="18"/>
      <c r="AJ191" s="18">
        <v>9013</v>
      </c>
      <c r="AK191" s="18">
        <f>AJ191*'Factors &amp; Percentages'!$E$34</f>
        <v>18858.531347520879</v>
      </c>
      <c r="AL191" s="18"/>
      <c r="AM191" s="30">
        <v>24</v>
      </c>
      <c r="AN191" s="30">
        <v>23</v>
      </c>
      <c r="AO191" s="30">
        <v>57</v>
      </c>
      <c r="AP191" s="116">
        <v>0</v>
      </c>
      <c r="AQ191" s="115"/>
      <c r="AR191" s="115">
        <f t="shared" si="23"/>
        <v>0</v>
      </c>
      <c r="AS191" s="18">
        <f>AN191*'Factors &amp; Percentages'!$E$37+AP191*'Factors &amp; Percentages'!$E$38+AR191*'Factors &amp; Percentages'!$E$39</f>
        <v>2857.2142021773848</v>
      </c>
      <c r="AT191" s="18"/>
      <c r="AU191" s="18">
        <f t="shared" si="27"/>
        <v>38596.650682585787</v>
      </c>
      <c r="AV191" s="69">
        <f t="shared" si="33"/>
        <v>38596.650682585787</v>
      </c>
      <c r="AW191" s="46">
        <f>IF($BG191&gt;$AV191,$BG191*(1+'Factors &amp; Percentages'!$B$24),
IF($AU191&gt;$AV191,$AV191,
IF($AU191&gt;$BG191,$AU191,
$BG191*(1+'Factors &amp; Percentages'!$B$24))))</f>
        <v>38596.650682585787</v>
      </c>
      <c r="AX191" s="46">
        <f t="shared" si="24"/>
        <v>38596.650682585787</v>
      </c>
      <c r="AY191" s="69"/>
      <c r="AZ191" s="27"/>
      <c r="BA191" s="119">
        <v>36517.633848591075</v>
      </c>
      <c r="BB191" s="46">
        <v>34961.641485736858</v>
      </c>
      <c r="BC191" s="119">
        <v>5849</v>
      </c>
      <c r="BD191" s="120">
        <v>0</v>
      </c>
      <c r="BE191" s="120">
        <v>0</v>
      </c>
      <c r="BF191" s="69"/>
      <c r="BG191" s="73">
        <v>10858</v>
      </c>
      <c r="BH191" s="73"/>
      <c r="BI191" s="117">
        <v>0</v>
      </c>
      <c r="BJ191" s="118">
        <v>0</v>
      </c>
      <c r="BK191" s="106">
        <v>0</v>
      </c>
      <c r="BL191" s="106">
        <v>0</v>
      </c>
      <c r="BM191" s="106">
        <v>0</v>
      </c>
    </row>
    <row r="192" spans="1:65" x14ac:dyDescent="0.3">
      <c r="A192" s="121" t="s">
        <v>69</v>
      </c>
      <c r="B192" s="121" t="s">
        <v>69</v>
      </c>
      <c r="C192" s="175" t="s">
        <v>69</v>
      </c>
      <c r="D192" s="122" t="s">
        <v>302</v>
      </c>
      <c r="E192" s="173" t="s">
        <v>299</v>
      </c>
      <c r="F192" s="111"/>
      <c r="G192" s="185">
        <f t="shared" si="34"/>
        <v>65291.100000000006</v>
      </c>
      <c r="H192" s="186"/>
      <c r="I192" s="187">
        <v>85475</v>
      </c>
      <c r="J192" s="188">
        <v>85528</v>
      </c>
      <c r="K192" s="189">
        <v>101655</v>
      </c>
      <c r="L192" s="123">
        <v>81403</v>
      </c>
      <c r="M192" s="123">
        <v>82638</v>
      </c>
      <c r="N192" s="190">
        <v>89569</v>
      </c>
      <c r="O192" s="189">
        <v>103039</v>
      </c>
      <c r="P192" s="188">
        <v>108762</v>
      </c>
      <c r="Q192" s="208">
        <v>87762</v>
      </c>
      <c r="R192" s="123">
        <v>87692</v>
      </c>
      <c r="S192" s="188"/>
      <c r="T192" s="187">
        <v>838</v>
      </c>
      <c r="U192" s="188">
        <v>686</v>
      </c>
      <c r="V192" s="189">
        <v>500</v>
      </c>
      <c r="W192" s="123">
        <v>0</v>
      </c>
      <c r="X192" s="190">
        <v>152</v>
      </c>
      <c r="Y192" s="189">
        <v>150</v>
      </c>
      <c r="Z192" s="188">
        <v>850</v>
      </c>
      <c r="AA192" s="123">
        <v>0</v>
      </c>
      <c r="AB192" s="191"/>
      <c r="AC192" s="204">
        <f t="shared" si="31"/>
        <v>85490.2</v>
      </c>
      <c r="AD192" s="205">
        <f t="shared" si="32"/>
        <v>89652.800000000003</v>
      </c>
      <c r="AE192" s="204">
        <f>SUM(AC192*'Factors &amp; Percentages'!$E$27+AD192*'Factors &amp; Percentages'!$E$28)</f>
        <v>13781.073716669825</v>
      </c>
      <c r="AF192" s="16"/>
      <c r="AG192" s="125">
        <v>1</v>
      </c>
      <c r="AH192" s="204">
        <f>AG192*'Factors &amp; Percentages'!$E$31</f>
        <v>13099.846088755494</v>
      </c>
      <c r="AI192" s="18"/>
      <c r="AJ192" s="126">
        <v>1912</v>
      </c>
      <c r="AK192" s="204">
        <f>AJ192*'Factors &amp; Percentages'!$E$34</f>
        <v>4000.6115540286164</v>
      </c>
      <c r="AL192" s="18"/>
      <c r="AM192" s="124">
        <v>74</v>
      </c>
      <c r="AN192" s="211">
        <v>90</v>
      </c>
      <c r="AO192" s="124">
        <v>194</v>
      </c>
      <c r="AP192" s="212">
        <v>211</v>
      </c>
      <c r="AQ192" s="135">
        <v>19592</v>
      </c>
      <c r="AR192" s="179">
        <f t="shared" si="23"/>
        <v>19592</v>
      </c>
      <c r="AS192" s="205">
        <f>AN192*'Factors &amp; Percentages'!$E$37+AP192*'Factors &amp; Percentages'!$E$38+AR192*'Factors &amp; Percentages'!$E$39</f>
        <v>20128.768574065187</v>
      </c>
      <c r="AT192" s="18"/>
      <c r="AU192" s="203">
        <f t="shared" si="27"/>
        <v>51010.299933519127</v>
      </c>
      <c r="AV192" s="213">
        <f t="shared" si="33"/>
        <v>51010.299933519127</v>
      </c>
      <c r="AW192" s="196">
        <f>IF($BG192&gt;$AV192,$BG192*(1+'Factors &amp; Percentages'!$B$24),
IF($AU192&gt;$AV192,$AV192,
IF($AU192&gt;$BG192,$AU192,
$BG192*(1+'Factors &amp; Percentages'!$B$24))))</f>
        <v>65291.100000000006</v>
      </c>
      <c r="AX192" s="185">
        <f t="shared" si="24"/>
        <v>65291.100000000006</v>
      </c>
      <c r="AY192" s="127"/>
      <c r="AZ192" s="27"/>
      <c r="BA192" s="223">
        <v>62182.05</v>
      </c>
      <c r="BB192" s="185">
        <v>59221.05</v>
      </c>
      <c r="BC192" s="204">
        <v>56401</v>
      </c>
      <c r="BD192" s="218">
        <v>53714.700000000004</v>
      </c>
      <c r="BE192" s="224">
        <v>68777.5</v>
      </c>
      <c r="BF192" s="219"/>
      <c r="BG192" s="221">
        <v>62182</v>
      </c>
      <c r="BH192" s="226">
        <v>59221</v>
      </c>
      <c r="BI192" s="220">
        <v>56401</v>
      </c>
      <c r="BJ192" s="227">
        <v>53715</v>
      </c>
      <c r="BK192" s="221">
        <v>45656</v>
      </c>
      <c r="BL192" s="128">
        <v>67100</v>
      </c>
      <c r="BM192" s="128">
        <v>65140</v>
      </c>
    </row>
    <row r="193" spans="1:65" x14ac:dyDescent="0.3">
      <c r="A193" s="111" t="s">
        <v>110</v>
      </c>
      <c r="B193" s="111" t="s">
        <v>110</v>
      </c>
      <c r="C193" s="112" t="s">
        <v>110</v>
      </c>
      <c r="D193" s="113" t="s">
        <v>295</v>
      </c>
      <c r="E193" s="113" t="s">
        <v>295</v>
      </c>
      <c r="F193" s="111"/>
      <c r="G193" s="46">
        <f t="shared" si="34"/>
        <v>13601.563474141059</v>
      </c>
      <c r="H193" s="111"/>
      <c r="I193" s="114">
        <v>11783</v>
      </c>
      <c r="J193" s="47">
        <v>8406</v>
      </c>
      <c r="K193" s="47">
        <v>12110</v>
      </c>
      <c r="L193" s="47">
        <v>9160</v>
      </c>
      <c r="M193" s="47">
        <v>10384</v>
      </c>
      <c r="N193" s="114">
        <v>22360</v>
      </c>
      <c r="O193" s="47">
        <v>22621</v>
      </c>
      <c r="P193" s="47">
        <v>17380</v>
      </c>
      <c r="Q193" s="115">
        <v>26177</v>
      </c>
      <c r="R193" s="47">
        <v>21146</v>
      </c>
      <c r="S193" s="47"/>
      <c r="T193" s="114">
        <v>0</v>
      </c>
      <c r="U193" s="47">
        <v>0</v>
      </c>
      <c r="V193" s="47">
        <v>9000</v>
      </c>
      <c r="W193" s="47">
        <v>0</v>
      </c>
      <c r="X193" s="114">
        <v>0</v>
      </c>
      <c r="Y193" s="47">
        <v>0</v>
      </c>
      <c r="Z193" s="47">
        <v>0</v>
      </c>
      <c r="AA193" s="47">
        <v>0</v>
      </c>
      <c r="AB193" s="47"/>
      <c r="AC193" s="16">
        <f t="shared" si="31"/>
        <v>11783</v>
      </c>
      <c r="AD193" s="16">
        <f t="shared" si="32"/>
        <v>22360</v>
      </c>
      <c r="AE193" s="16">
        <f>SUM(AC193*'Factors &amp; Percentages'!$E$27+AD193*'Factors &amp; Percentages'!$E$28)</f>
        <v>2571.4689979121149</v>
      </c>
      <c r="AF193" s="16"/>
      <c r="AG193" s="101">
        <v>0.33333333333333331</v>
      </c>
      <c r="AH193" s="18">
        <f>AG193*'Factors &amp; Percentages'!$E$31</f>
        <v>4366.6153629184973</v>
      </c>
      <c r="AI193" s="18"/>
      <c r="AJ193" s="18">
        <v>1721</v>
      </c>
      <c r="AK193" s="18">
        <f>AJ193*'Factors &amp; Percentages'!$E$34</f>
        <v>3600.9688726376821</v>
      </c>
      <c r="AL193" s="18"/>
      <c r="AM193" s="30">
        <v>14</v>
      </c>
      <c r="AN193" s="30">
        <v>12</v>
      </c>
      <c r="AO193" s="30">
        <v>32</v>
      </c>
      <c r="AP193" s="116">
        <v>28</v>
      </c>
      <c r="AQ193" s="115">
        <v>4482</v>
      </c>
      <c r="AR193" s="115">
        <f t="shared" ref="AR193:AR209" si="35">+AQ193</f>
        <v>4482</v>
      </c>
      <c r="AS193" s="18">
        <f>AN193*'Factors &amp; Percentages'!$E$37+AP193*'Factors &amp; Percentages'!$E$38+AR193*'Factors &amp; Percentages'!$E$39</f>
        <v>3062.5102406727651</v>
      </c>
      <c r="AT193" s="18"/>
      <c r="AU193" s="18">
        <f t="shared" si="27"/>
        <v>13601.563474141059</v>
      </c>
      <c r="AV193" s="69">
        <f t="shared" si="33"/>
        <v>13601.563474141059</v>
      </c>
      <c r="AW193" s="46">
        <f>IF($BG193&gt;$AV193,$BG193*(1+'Factors &amp; Percentages'!$B$24),
IF($AU193&gt;$AV193,$AV193,
IF($AU193&gt;$BG193,$AU193,
$BG193*(1+'Factors &amp; Percentages'!$B$24))))</f>
        <v>13601.563474141059</v>
      </c>
      <c r="AX193" s="46">
        <f t="shared" ref="AX193:AX208" si="36">MIN(AW193,+AG193*2*AY$2)</f>
        <v>13601.563474141059</v>
      </c>
      <c r="AY193" s="69"/>
      <c r="AZ193" s="27"/>
      <c r="BA193" s="21">
        <v>12439.838371493675</v>
      </c>
      <c r="BB193" s="46">
        <v>11684</v>
      </c>
      <c r="BC193" s="119">
        <v>7350</v>
      </c>
      <c r="BD193" s="120">
        <v>7174.9999999999991</v>
      </c>
      <c r="BE193" s="120">
        <v>9688.9</v>
      </c>
      <c r="BF193" s="69"/>
      <c r="BG193" s="73">
        <v>6500</v>
      </c>
      <c r="BH193" s="73">
        <v>6400</v>
      </c>
      <c r="BI193" s="117">
        <v>7000</v>
      </c>
      <c r="BJ193" s="118">
        <v>7000</v>
      </c>
      <c r="BK193" s="106">
        <v>7000</v>
      </c>
      <c r="BL193" s="106">
        <v>6500</v>
      </c>
      <c r="BM193" s="106">
        <v>6200</v>
      </c>
    </row>
    <row r="194" spans="1:65" x14ac:dyDescent="0.3">
      <c r="A194" s="121" t="s">
        <v>70</v>
      </c>
      <c r="B194" s="121" t="s">
        <v>70</v>
      </c>
      <c r="C194" s="175" t="s">
        <v>70</v>
      </c>
      <c r="D194" s="122" t="s">
        <v>302</v>
      </c>
      <c r="E194" s="173" t="s">
        <v>299</v>
      </c>
      <c r="F194" s="111"/>
      <c r="G194" s="185">
        <f t="shared" si="34"/>
        <v>16411.922378209325</v>
      </c>
      <c r="H194" s="186"/>
      <c r="I194" s="187">
        <v>22982</v>
      </c>
      <c r="J194" s="188">
        <v>27740</v>
      </c>
      <c r="K194" s="189">
        <v>28786</v>
      </c>
      <c r="L194" s="123">
        <v>25955</v>
      </c>
      <c r="M194" s="123">
        <v>28622</v>
      </c>
      <c r="N194" s="190">
        <v>32278</v>
      </c>
      <c r="O194" s="189">
        <v>37627</v>
      </c>
      <c r="P194" s="188">
        <v>33397</v>
      </c>
      <c r="Q194" s="208">
        <v>27877</v>
      </c>
      <c r="R194" s="123">
        <v>17599</v>
      </c>
      <c r="S194" s="188"/>
      <c r="T194" s="187">
        <v>3917</v>
      </c>
      <c r="U194" s="188">
        <v>272</v>
      </c>
      <c r="V194" s="189">
        <v>0</v>
      </c>
      <c r="W194" s="123">
        <v>-1836</v>
      </c>
      <c r="X194" s="190">
        <v>3705</v>
      </c>
      <c r="Y194" s="189">
        <v>305</v>
      </c>
      <c r="Z194" s="188">
        <v>519</v>
      </c>
      <c r="AA194" s="123">
        <v>291</v>
      </c>
      <c r="AB194" s="191"/>
      <c r="AC194" s="204">
        <f t="shared" si="31"/>
        <v>23352.5</v>
      </c>
      <c r="AD194" s="205">
        <f t="shared" si="32"/>
        <v>32669.7</v>
      </c>
      <c r="AE194" s="204">
        <f>SUM(AC194*'Factors &amp; Percentages'!$E$27+AD194*'Factors &amp; Percentages'!$E$28)</f>
        <v>4313.9977374207665</v>
      </c>
      <c r="AF194" s="16"/>
      <c r="AG194" s="125">
        <v>0.5</v>
      </c>
      <c r="AH194" s="204">
        <f>AG194*'Factors &amp; Percentages'!$E$31</f>
        <v>6549.9230443777469</v>
      </c>
      <c r="AI194" s="18"/>
      <c r="AJ194" s="126">
        <v>1438</v>
      </c>
      <c r="AK194" s="204">
        <f>AJ194*'Factors &amp; Percentages'!$E$34</f>
        <v>3008.8281457600156</v>
      </c>
      <c r="AL194" s="18"/>
      <c r="AM194" s="124">
        <v>21</v>
      </c>
      <c r="AN194" s="211">
        <v>16</v>
      </c>
      <c r="AO194" s="124">
        <v>22</v>
      </c>
      <c r="AP194" s="212">
        <v>0</v>
      </c>
      <c r="AQ194" s="135">
        <v>2701</v>
      </c>
      <c r="AR194" s="179">
        <f t="shared" si="35"/>
        <v>2701</v>
      </c>
      <c r="AS194" s="205">
        <f>AN194*'Factors &amp; Percentages'!$E$37+AP194*'Factors &amp; Percentages'!$E$38+AR194*'Factors &amp; Percentages'!$E$39</f>
        <v>2539.1734506507964</v>
      </c>
      <c r="AT194" s="18"/>
      <c r="AU194" s="203">
        <f t="shared" si="27"/>
        <v>16411.922378209325</v>
      </c>
      <c r="AV194" s="213">
        <f t="shared" si="33"/>
        <v>16411.922378209325</v>
      </c>
      <c r="AW194" s="196">
        <f>IF($BG194&gt;$AV194,$BG194*(1+'Factors &amp; Percentages'!$B$24),
IF($AU194&gt;$AV194,$AV194,
IF($AU194&gt;$BG194,$AU194,
$BG194*(1+'Factors &amp; Percentages'!$B$24))))</f>
        <v>16411.922378209325</v>
      </c>
      <c r="AX194" s="185">
        <f t="shared" si="36"/>
        <v>16411.922378209325</v>
      </c>
      <c r="AY194" s="127"/>
      <c r="AZ194" s="27"/>
      <c r="BA194" s="223">
        <v>16694.620096389292</v>
      </c>
      <c r="BB194" s="185">
        <v>15314</v>
      </c>
      <c r="BC194" s="204">
        <v>16871</v>
      </c>
      <c r="BD194" s="218">
        <v>18604.3</v>
      </c>
      <c r="BE194" s="224">
        <v>15965.099361867709</v>
      </c>
      <c r="BF194" s="219"/>
      <c r="BG194" s="221">
        <v>13200</v>
      </c>
      <c r="BH194" s="226">
        <v>12000</v>
      </c>
      <c r="BI194" s="220">
        <v>10440</v>
      </c>
      <c r="BJ194" s="227">
        <v>9020</v>
      </c>
      <c r="BK194" s="221">
        <v>6654</v>
      </c>
      <c r="BL194" s="128">
        <v>13299</v>
      </c>
      <c r="BM194" s="128">
        <v>12912</v>
      </c>
    </row>
    <row r="195" spans="1:65" x14ac:dyDescent="0.3">
      <c r="A195" s="111" t="s">
        <v>71</v>
      </c>
      <c r="B195" s="111" t="s">
        <v>71</v>
      </c>
      <c r="C195" s="138" t="s">
        <v>71</v>
      </c>
      <c r="D195" s="113" t="s">
        <v>302</v>
      </c>
      <c r="E195" s="113" t="s">
        <v>299</v>
      </c>
      <c r="F195" s="111"/>
      <c r="G195" s="46">
        <f t="shared" si="34"/>
        <v>15280.577031177234</v>
      </c>
      <c r="H195" s="111"/>
      <c r="I195" s="114">
        <v>35469</v>
      </c>
      <c r="J195" s="47">
        <v>23852</v>
      </c>
      <c r="K195" s="47">
        <v>26376</v>
      </c>
      <c r="L195" s="47">
        <v>15843</v>
      </c>
      <c r="M195" s="47">
        <v>15099</v>
      </c>
      <c r="N195" s="114">
        <v>34120</v>
      </c>
      <c r="O195" s="47">
        <v>46818</v>
      </c>
      <c r="P195" s="47">
        <v>47605</v>
      </c>
      <c r="Q195" s="115">
        <v>45980</v>
      </c>
      <c r="R195" s="47">
        <v>38743</v>
      </c>
      <c r="S195" s="47"/>
      <c r="T195" s="114">
        <v>15075</v>
      </c>
      <c r="U195" s="47">
        <v>1608</v>
      </c>
      <c r="V195" s="47">
        <v>0</v>
      </c>
      <c r="W195" s="47">
        <v>297</v>
      </c>
      <c r="X195" s="114">
        <v>7522</v>
      </c>
      <c r="Y195" s="47">
        <v>1608</v>
      </c>
      <c r="Z195" s="47">
        <v>0</v>
      </c>
      <c r="AA195" s="47">
        <v>0</v>
      </c>
      <c r="AB195" s="47"/>
      <c r="AC195" s="16">
        <f t="shared" si="31"/>
        <v>36221.199999999997</v>
      </c>
      <c r="AD195" s="16">
        <f t="shared" si="32"/>
        <v>35627.5</v>
      </c>
      <c r="AE195" s="16">
        <f>SUM(AC195*'Factors &amp; Percentages'!$E$27+AD195*'Factors &amp; Percentages'!$E$28)</f>
        <v>5680.5084608306333</v>
      </c>
      <c r="AF195" s="16"/>
      <c r="AG195" s="101">
        <v>0.25</v>
      </c>
      <c r="AH195" s="18">
        <f>AG195*'Factors &amp; Percentages'!$E$31</f>
        <v>3274.9615221888735</v>
      </c>
      <c r="AI195" s="18"/>
      <c r="AJ195" s="18">
        <v>1176</v>
      </c>
      <c r="AK195" s="18">
        <f>AJ195*'Factors &amp; Percentages'!$E$34</f>
        <v>2460.6271901347554</v>
      </c>
      <c r="AL195" s="18"/>
      <c r="AM195" s="30">
        <v>21</v>
      </c>
      <c r="AN195" s="30">
        <v>21</v>
      </c>
      <c r="AO195" s="30">
        <v>35</v>
      </c>
      <c r="AP195" s="116">
        <v>33</v>
      </c>
      <c r="AQ195" s="115">
        <v>2360</v>
      </c>
      <c r="AR195" s="115">
        <f t="shared" si="35"/>
        <v>2360</v>
      </c>
      <c r="AS195" s="18">
        <f>AN195*'Factors &amp; Percentages'!$E$37+AP195*'Factors &amp; Percentages'!$E$38+AR195*'Factors &amp; Percentages'!$E$39</f>
        <v>3864.4798580229731</v>
      </c>
      <c r="AT195" s="18"/>
      <c r="AU195" s="18">
        <f t="shared" ref="AU195:AU209" si="37">AE195+AH195+AK195+AS195</f>
        <v>15280.577031177234</v>
      </c>
      <c r="AV195" s="69">
        <f t="shared" si="33"/>
        <v>15280.577031177234</v>
      </c>
      <c r="AW195" s="46">
        <f>IF($BG195&gt;$AV195,$BG195*(1+'Factors &amp; Percentages'!$B$24),
IF($AU195&gt;$AV195,$AV195,
IF($AU195&gt;$BG195,$AU195,
$BG195*(1+'Factors &amp; Percentages'!$B$24))))</f>
        <v>15280.577031177234</v>
      </c>
      <c r="AX195" s="46">
        <f t="shared" si="36"/>
        <v>15280.577031177234</v>
      </c>
      <c r="AY195" s="69"/>
      <c r="AZ195" s="27"/>
      <c r="BA195" s="21">
        <v>13676.437660920601</v>
      </c>
      <c r="BB195" s="46">
        <v>12850</v>
      </c>
      <c r="BC195" s="119">
        <v>10298</v>
      </c>
      <c r="BD195" s="120">
        <v>9814.35</v>
      </c>
      <c r="BE195" s="120">
        <v>11138.15</v>
      </c>
      <c r="BF195" s="69"/>
      <c r="BG195" s="73">
        <v>7000</v>
      </c>
      <c r="BH195" s="73">
        <v>7500</v>
      </c>
      <c r="BI195" s="117">
        <v>7000</v>
      </c>
      <c r="BJ195" s="118">
        <v>4500</v>
      </c>
      <c r="BK195" s="106">
        <v>3675</v>
      </c>
      <c r="BL195" s="106">
        <v>3500</v>
      </c>
      <c r="BM195" s="106">
        <v>3335</v>
      </c>
    </row>
    <row r="196" spans="1:65" x14ac:dyDescent="0.3">
      <c r="A196" s="121" t="e">
        <v>#N/A</v>
      </c>
      <c r="B196" s="121" t="e">
        <v>#N/A</v>
      </c>
      <c r="C196" s="174" t="s">
        <v>290</v>
      </c>
      <c r="D196" s="122" t="s">
        <v>279</v>
      </c>
      <c r="E196" s="173" t="s">
        <v>281</v>
      </c>
      <c r="F196" s="111"/>
      <c r="G196" s="185">
        <f t="shared" si="34"/>
        <v>19649.317495155978</v>
      </c>
      <c r="H196" s="186"/>
      <c r="I196" s="192">
        <f>+I214+I215</f>
        <v>23831</v>
      </c>
      <c r="J196" s="193">
        <f t="shared" ref="J196:L196" si="38">+J214+J215</f>
        <v>22119</v>
      </c>
      <c r="K196" s="192">
        <f t="shared" si="38"/>
        <v>19938</v>
      </c>
      <c r="L196" s="136">
        <f t="shared" si="38"/>
        <v>18901</v>
      </c>
      <c r="M196" s="123">
        <v>3724</v>
      </c>
      <c r="N196" s="194">
        <f t="shared" ref="N196:Q196" si="39">+N214+N215</f>
        <v>32921</v>
      </c>
      <c r="O196" s="195">
        <f t="shared" si="39"/>
        <v>28281</v>
      </c>
      <c r="P196" s="194">
        <f t="shared" si="39"/>
        <v>31068</v>
      </c>
      <c r="Q196" s="208">
        <f t="shared" si="39"/>
        <v>31021</v>
      </c>
      <c r="R196" s="123">
        <v>6449</v>
      </c>
      <c r="S196" s="188"/>
      <c r="T196" s="196">
        <f t="shared" ref="T196:Z196" si="40">+T214+T215</f>
        <v>18579</v>
      </c>
      <c r="U196" s="185">
        <f t="shared" si="40"/>
        <v>13688</v>
      </c>
      <c r="V196" s="196">
        <f t="shared" si="40"/>
        <v>14312</v>
      </c>
      <c r="W196" s="135">
        <f t="shared" si="40"/>
        <v>13427</v>
      </c>
      <c r="X196" s="185">
        <f t="shared" si="40"/>
        <v>791</v>
      </c>
      <c r="Y196" s="196">
        <f t="shared" si="40"/>
        <v>532</v>
      </c>
      <c r="Z196" s="185">
        <f t="shared" si="40"/>
        <v>759</v>
      </c>
      <c r="AA196" s="123">
        <v>450</v>
      </c>
      <c r="AB196" s="191"/>
      <c r="AC196" s="196">
        <f t="shared" ref="AC196" si="41">+AC214+AC215</f>
        <v>23910.1</v>
      </c>
      <c r="AD196" s="185">
        <f>+AD214+AD215</f>
        <v>34778.9</v>
      </c>
      <c r="AE196" s="204">
        <f>SUM(AC196*'Factors &amp; Percentages'!$E$27+AD196*'Factors &amp; Percentages'!$E$28)</f>
        <v>4506.2991125749941</v>
      </c>
      <c r="AF196" s="16"/>
      <c r="AG196" s="125">
        <f>+AG214+AG215</f>
        <v>0.34</v>
      </c>
      <c r="AH196" s="204">
        <f>AG196*'Factors &amp; Percentages'!$E$31</f>
        <v>4453.9476701768681</v>
      </c>
      <c r="AI196" s="18"/>
      <c r="AJ196" s="126">
        <f>+AJ214</f>
        <v>2656</v>
      </c>
      <c r="AK196" s="204">
        <f>AJ196*'Factors &amp; Percentages'!$E$34</f>
        <v>5557.3348783995843</v>
      </c>
      <c r="AL196" s="18"/>
      <c r="AM196" s="124">
        <f>+AM214+AM215</f>
        <v>41</v>
      </c>
      <c r="AN196" s="211">
        <v>33</v>
      </c>
      <c r="AO196" s="129">
        <v>10</v>
      </c>
      <c r="AP196" s="212">
        <v>35</v>
      </c>
      <c r="AQ196" s="135">
        <f>+AQ214+AQ215</f>
        <v>1036</v>
      </c>
      <c r="AR196" s="179">
        <f>+AQ196</f>
        <v>1036</v>
      </c>
      <c r="AS196" s="205">
        <f>AN196*'Factors &amp; Percentages'!$E$37+AP196*'Factors &amp; Percentages'!$E$38+AR196*'Factors &amp; Percentages'!$E$39</f>
        <v>5131.7358340045312</v>
      </c>
      <c r="AT196" s="18"/>
      <c r="AU196" s="203">
        <f t="shared" si="37"/>
        <v>19649.317495155978</v>
      </c>
      <c r="AV196" s="213">
        <f t="shared" si="33"/>
        <v>19649.317495155978</v>
      </c>
      <c r="AW196" s="196">
        <f>IF($BG196&gt;$AV196,$BG196*(1+'Factors &amp; Percentages'!$B$24),
IF($AU196&gt;$AV196,$AV196,
IF($AU196&gt;$BG196,$AU196,
$BG196*(1+'Factors &amp; Percentages'!$B$24))))</f>
        <v>19649.317495155978</v>
      </c>
      <c r="AX196" s="185">
        <f>MIN(AW196,+AG196*2*AY$2)</f>
        <v>19649.317495155978</v>
      </c>
      <c r="AY196" s="127"/>
      <c r="AZ196" s="27"/>
      <c r="BA196" s="223">
        <f>+BA214+BA215</f>
        <v>19951.266746646608</v>
      </c>
      <c r="BB196" s="217">
        <f t="shared" ref="BB196:BE196" si="42">+BB214+BB215</f>
        <v>21860.9</v>
      </c>
      <c r="BC196" s="223">
        <f t="shared" si="42"/>
        <v>12286</v>
      </c>
      <c r="BD196" s="217">
        <f t="shared" si="42"/>
        <v>8376.75</v>
      </c>
      <c r="BE196" s="223">
        <f t="shared" si="42"/>
        <v>9244.7999999999993</v>
      </c>
      <c r="BF196" s="219"/>
      <c r="BG196" s="221">
        <f>+BG214+BG215</f>
        <v>10200</v>
      </c>
      <c r="BH196" s="226">
        <f t="shared" ref="BH196:BK196" si="43">+BH214+BH215</f>
        <v>8100</v>
      </c>
      <c r="BI196" s="221">
        <f t="shared" si="43"/>
        <v>7500</v>
      </c>
      <c r="BJ196" s="226">
        <f t="shared" si="43"/>
        <v>7140</v>
      </c>
      <c r="BK196" s="221">
        <f t="shared" si="43"/>
        <v>5500</v>
      </c>
      <c r="BL196" s="128">
        <v>4326</v>
      </c>
      <c r="BM196" s="128">
        <v>4326</v>
      </c>
    </row>
    <row r="197" spans="1:65" x14ac:dyDescent="0.3">
      <c r="A197" s="111" t="s">
        <v>474</v>
      </c>
      <c r="B197" s="111" t="s">
        <v>237</v>
      </c>
      <c r="C197" s="112" t="s">
        <v>237</v>
      </c>
      <c r="D197" s="113" t="s">
        <v>302</v>
      </c>
      <c r="E197" s="113" t="s">
        <v>112</v>
      </c>
      <c r="F197" s="111"/>
      <c r="G197" s="46">
        <f t="shared" si="34"/>
        <v>13673.469864701867</v>
      </c>
      <c r="H197" s="111"/>
      <c r="I197" s="114">
        <v>16852</v>
      </c>
      <c r="J197" s="47">
        <v>25962</v>
      </c>
      <c r="K197" s="47">
        <v>23728</v>
      </c>
      <c r="L197" s="47">
        <v>19501</v>
      </c>
      <c r="M197" s="47">
        <v>19845</v>
      </c>
      <c r="N197" s="114">
        <v>25175</v>
      </c>
      <c r="O197" s="47">
        <v>24767</v>
      </c>
      <c r="P197" s="47">
        <v>19057</v>
      </c>
      <c r="Q197" s="115">
        <v>9436</v>
      </c>
      <c r="R197" s="47">
        <v>9184</v>
      </c>
      <c r="S197" s="47"/>
      <c r="T197" s="114">
        <v>0</v>
      </c>
      <c r="U197" s="47">
        <v>6732</v>
      </c>
      <c r="V197" s="47">
        <v>6726</v>
      </c>
      <c r="W197" s="47">
        <v>6726</v>
      </c>
      <c r="X197" s="114">
        <v>0</v>
      </c>
      <c r="Y197" s="47">
        <v>0</v>
      </c>
      <c r="Z197" s="47">
        <v>1</v>
      </c>
      <c r="AA197" s="47">
        <v>48</v>
      </c>
      <c r="AB197" s="47"/>
      <c r="AC197" s="16">
        <f t="shared" ref="AC197:AC209" si="44">I197+X197*0.1</f>
        <v>16852</v>
      </c>
      <c r="AD197" s="16">
        <f t="shared" ref="AD197:AD209" si="45">N197+0.1*T197</f>
        <v>25175</v>
      </c>
      <c r="AE197" s="16">
        <f>SUM(AC197*'Factors &amp; Percentages'!$E$27+AD197*'Factors &amp; Percentages'!$E$28)</f>
        <v>3220.5847386745108</v>
      </c>
      <c r="AF197" s="16"/>
      <c r="AG197" s="101">
        <v>0.2</v>
      </c>
      <c r="AH197" s="18">
        <f>AG197*'Factors &amp; Percentages'!$E$31</f>
        <v>2619.9692177510988</v>
      </c>
      <c r="AI197" s="18"/>
      <c r="AJ197" s="18">
        <v>592</v>
      </c>
      <c r="AK197" s="18">
        <f>AJ197*'Factors &amp; Percentages'!$E$34</f>
        <v>1238.6830753059314</v>
      </c>
      <c r="AL197" s="18"/>
      <c r="AM197" s="30">
        <v>17</v>
      </c>
      <c r="AN197" s="30">
        <v>36</v>
      </c>
      <c r="AO197" s="30">
        <v>42</v>
      </c>
      <c r="AP197" s="116">
        <v>41</v>
      </c>
      <c r="AQ197" s="115">
        <v>5684</v>
      </c>
      <c r="AR197" s="115">
        <f t="shared" si="35"/>
        <v>5684</v>
      </c>
      <c r="AS197" s="18">
        <f>AN197*'Factors &amp; Percentages'!$E$37+AP197*'Factors &amp; Percentages'!$E$38+AR197*'Factors &amp; Percentages'!$E$39</f>
        <v>6594.2328329703259</v>
      </c>
      <c r="AT197" s="18"/>
      <c r="AU197" s="18">
        <f t="shared" si="37"/>
        <v>13673.469864701867</v>
      </c>
      <c r="AV197" s="69">
        <f t="shared" si="33"/>
        <v>13673.469864701867</v>
      </c>
      <c r="AW197" s="46">
        <f>IF($BG197&gt;$AV197,$BG197*(1+'Factors &amp; Percentages'!$B$24),
IF($AU197&gt;$AV197,$AV197,
IF($AU197&gt;$BG197,$AU197,
$BG197*(1+'Factors &amp; Percentages'!$B$24))))</f>
        <v>13673.469864701867</v>
      </c>
      <c r="AX197" s="46">
        <f t="shared" si="36"/>
        <v>13673.469864701867</v>
      </c>
      <c r="AY197" s="69"/>
      <c r="AZ197" s="27"/>
      <c r="BA197" s="21">
        <v>11122.275924180971</v>
      </c>
      <c r="BB197" s="46">
        <v>10767</v>
      </c>
      <c r="BC197" s="119">
        <v>12676</v>
      </c>
      <c r="BD197" s="120">
        <v>12899.25</v>
      </c>
      <c r="BE197" s="89">
        <v>11268.262925308347</v>
      </c>
      <c r="BF197" s="69"/>
      <c r="BG197" s="73">
        <v>7200</v>
      </c>
      <c r="BH197" s="73">
        <v>6600</v>
      </c>
      <c r="BI197" s="117">
        <v>6600</v>
      </c>
      <c r="BJ197" s="118">
        <v>6600</v>
      </c>
      <c r="BK197" s="106">
        <v>5400</v>
      </c>
      <c r="BL197" s="106">
        <v>10445</v>
      </c>
      <c r="BM197" s="106">
        <v>9948</v>
      </c>
    </row>
    <row r="198" spans="1:65" x14ac:dyDescent="0.3">
      <c r="A198" s="121" t="s">
        <v>143</v>
      </c>
      <c r="B198" s="121" t="s">
        <v>143</v>
      </c>
      <c r="C198" s="174" t="s">
        <v>143</v>
      </c>
      <c r="D198" s="122" t="s">
        <v>302</v>
      </c>
      <c r="E198" s="173" t="s">
        <v>316</v>
      </c>
      <c r="F198" s="111"/>
      <c r="G198" s="185">
        <f t="shared" si="34"/>
        <v>67490.863407089229</v>
      </c>
      <c r="H198" s="186"/>
      <c r="I198" s="187">
        <v>124764</v>
      </c>
      <c r="J198" s="188">
        <v>115357</v>
      </c>
      <c r="K198" s="189">
        <v>118543</v>
      </c>
      <c r="L198" s="123">
        <v>95182</v>
      </c>
      <c r="M198" s="123">
        <v>135360</v>
      </c>
      <c r="N198" s="190">
        <v>164548</v>
      </c>
      <c r="O198" s="189">
        <v>163961</v>
      </c>
      <c r="P198" s="188">
        <v>158041</v>
      </c>
      <c r="Q198" s="208">
        <v>187663</v>
      </c>
      <c r="R198" s="123">
        <v>170308</v>
      </c>
      <c r="S198" s="188"/>
      <c r="T198" s="187">
        <v>0</v>
      </c>
      <c r="U198" s="188">
        <v>0</v>
      </c>
      <c r="V198" s="189">
        <v>0</v>
      </c>
      <c r="W198" s="123">
        <v>0</v>
      </c>
      <c r="X198" s="190">
        <v>0</v>
      </c>
      <c r="Y198" s="189">
        <v>0</v>
      </c>
      <c r="Z198" s="188">
        <v>0</v>
      </c>
      <c r="AA198" s="123">
        <v>0</v>
      </c>
      <c r="AB198" s="191"/>
      <c r="AC198" s="204">
        <f t="shared" si="44"/>
        <v>124764</v>
      </c>
      <c r="AD198" s="205">
        <f t="shared" si="45"/>
        <v>164548</v>
      </c>
      <c r="AE198" s="204">
        <f>SUM(AC198*'Factors &amp; Percentages'!$E$27+AD198*'Factors &amp; Percentages'!$E$28)</f>
        <v>22376.687901332702</v>
      </c>
      <c r="AF198" s="16"/>
      <c r="AG198" s="125">
        <v>0.75</v>
      </c>
      <c r="AH198" s="204">
        <f>AG198*'Factors &amp; Percentages'!$E$31</f>
        <v>9824.8845665666195</v>
      </c>
      <c r="AI198" s="18"/>
      <c r="AJ198" s="126">
        <v>8973</v>
      </c>
      <c r="AK198" s="204">
        <f>AJ198*'Factors &amp; Percentages'!$E$34</f>
        <v>18774.836545135342</v>
      </c>
      <c r="AL198" s="18"/>
      <c r="AM198" s="129">
        <v>16</v>
      </c>
      <c r="AN198" s="211">
        <v>65</v>
      </c>
      <c r="AO198" s="124">
        <v>250</v>
      </c>
      <c r="AP198" s="212">
        <v>252</v>
      </c>
      <c r="AQ198" s="135">
        <v>12393</v>
      </c>
      <c r="AR198" s="179">
        <f t="shared" si="35"/>
        <v>12393</v>
      </c>
      <c r="AS198" s="205">
        <f>AN198*'Factors &amp; Percentages'!$E$37+AP198*'Factors &amp; Percentages'!$E$38+AR198*'Factors &amp; Percentages'!$E$39</f>
        <v>16514.454394054574</v>
      </c>
      <c r="AT198" s="18"/>
      <c r="AU198" s="203">
        <f t="shared" si="37"/>
        <v>67490.863407089229</v>
      </c>
      <c r="AV198" s="213">
        <f t="shared" si="33"/>
        <v>67490.863407089229</v>
      </c>
      <c r="AW198" s="196">
        <f>IF($BG198&gt;$AV198,$BG198*(1+'Factors &amp; Percentages'!$B$24),
IF($AU198&gt;$AV198,$AV198,
IF($AU198&gt;$BG198,$AU198,
$BG198*(1+'Factors &amp; Percentages'!$B$24))))</f>
        <v>67490.863407089229</v>
      </c>
      <c r="AX198" s="185">
        <f t="shared" si="36"/>
        <v>67490.863407089229</v>
      </c>
      <c r="AY198" s="127"/>
      <c r="AZ198" s="27"/>
      <c r="BA198" s="223">
        <v>54855.928371561073</v>
      </c>
      <c r="BB198" s="185">
        <v>51549</v>
      </c>
      <c r="BC198" s="204">
        <v>61868</v>
      </c>
      <c r="BD198" s="218">
        <v>84755.873197805136</v>
      </c>
      <c r="BE198" s="224">
        <v>79845.447547435528</v>
      </c>
      <c r="BF198" s="219"/>
      <c r="BG198" s="221">
        <v>45000</v>
      </c>
      <c r="BH198" s="226">
        <v>40000</v>
      </c>
      <c r="BI198" s="220">
        <v>40000</v>
      </c>
      <c r="BJ198" s="227">
        <v>55000</v>
      </c>
      <c r="BK198" s="221">
        <v>50000</v>
      </c>
      <c r="BL198" s="128">
        <v>70000</v>
      </c>
      <c r="BM198" s="128">
        <v>85000</v>
      </c>
    </row>
    <row r="199" spans="1:65" s="171" customFormat="1" x14ac:dyDescent="0.3">
      <c r="A199" s="142" t="s">
        <v>175</v>
      </c>
      <c r="B199" s="142" t="s">
        <v>175</v>
      </c>
      <c r="C199" s="143" t="s">
        <v>175</v>
      </c>
      <c r="D199" s="144" t="s">
        <v>302</v>
      </c>
      <c r="E199" s="144" t="s">
        <v>317</v>
      </c>
      <c r="F199" s="142"/>
      <c r="G199" s="152">
        <f t="shared" si="34"/>
        <v>36275</v>
      </c>
      <c r="H199" s="142"/>
      <c r="I199" s="145">
        <v>56464</v>
      </c>
      <c r="J199" s="146">
        <v>58175</v>
      </c>
      <c r="K199" s="146">
        <v>63033</v>
      </c>
      <c r="L199" s="146">
        <v>49021</v>
      </c>
      <c r="M199" s="146">
        <v>45469</v>
      </c>
      <c r="N199" s="145">
        <v>55685</v>
      </c>
      <c r="O199" s="146">
        <v>66262</v>
      </c>
      <c r="P199" s="146">
        <v>65984</v>
      </c>
      <c r="Q199" s="91">
        <v>68026</v>
      </c>
      <c r="R199" s="146">
        <v>71221</v>
      </c>
      <c r="S199" s="146"/>
      <c r="T199" s="145">
        <v>0</v>
      </c>
      <c r="U199" s="146">
        <v>0</v>
      </c>
      <c r="V199" s="146">
        <v>0</v>
      </c>
      <c r="W199" s="146">
        <v>0</v>
      </c>
      <c r="X199" s="145">
        <v>0</v>
      </c>
      <c r="Y199" s="146">
        <v>0</v>
      </c>
      <c r="Z199" s="146">
        <v>0</v>
      </c>
      <c r="AA199" s="146">
        <v>0</v>
      </c>
      <c r="AB199" s="146"/>
      <c r="AC199" s="147">
        <f t="shared" si="44"/>
        <v>56464</v>
      </c>
      <c r="AD199" s="147">
        <f t="shared" si="45"/>
        <v>55685</v>
      </c>
      <c r="AE199" s="147">
        <f>SUM(AC199*'Factors &amp; Percentages'!$E$27+AD199*'Factors &amp; Percentages'!$E$28)</f>
        <v>8864.9940595463668</v>
      </c>
      <c r="AF199" s="147"/>
      <c r="AG199" s="148">
        <v>0.5</v>
      </c>
      <c r="AH199" s="149">
        <f>AG199*'Factors &amp; Percentages'!$E$31</f>
        <v>6549.9230443777469</v>
      </c>
      <c r="AI199" s="149"/>
      <c r="AJ199" s="149">
        <v>5742</v>
      </c>
      <c r="AK199" s="149">
        <f>AJ199*'Factors &amp; Percentages'!$E$34</f>
        <v>12014.38888244368</v>
      </c>
      <c r="AL199" s="149"/>
      <c r="AM199" s="54">
        <v>42</v>
      </c>
      <c r="AN199" s="54">
        <v>47</v>
      </c>
      <c r="AO199" s="54">
        <v>101</v>
      </c>
      <c r="AP199" s="150">
        <v>93</v>
      </c>
      <c r="AQ199" s="91">
        <v>6358</v>
      </c>
      <c r="AR199" s="91">
        <f t="shared" si="35"/>
        <v>6358</v>
      </c>
      <c r="AS199" s="149">
        <f>AN199*'Factors &amp; Percentages'!$E$37+AP199*'Factors &amp; Percentages'!$E$38+AR199*'Factors &amp; Percentages'!$E$39</f>
        <v>9317.6874947276847</v>
      </c>
      <c r="AT199" s="149"/>
      <c r="AU199" s="149">
        <f t="shared" si="37"/>
        <v>36746.993481095473</v>
      </c>
      <c r="AV199" s="151">
        <f t="shared" si="33"/>
        <v>36701.599999999999</v>
      </c>
      <c r="AW199" s="152">
        <f>IF($BG199&gt;$AV199,$BG199*(1+'Factors &amp; Percentages'!$B$24),
IF($AU199&gt;$AV199,$AV199,
IF($AU199&gt;$BG199,$AU199,
$BG199*(1+'Factors &amp; Percentages'!$B$24))))</f>
        <v>36701.599999999999</v>
      </c>
      <c r="AX199" s="152">
        <v>36275</v>
      </c>
      <c r="AY199" s="151"/>
      <c r="BA199" s="110">
        <v>33979.783225528081</v>
      </c>
      <c r="BB199" s="152">
        <v>31630</v>
      </c>
      <c r="BC199" s="157">
        <v>31864</v>
      </c>
      <c r="BD199" s="158">
        <v>29554.850000000002</v>
      </c>
      <c r="BE199" s="158">
        <v>53923.199999999997</v>
      </c>
      <c r="BF199" s="151"/>
      <c r="BG199" s="109">
        <v>27600</v>
      </c>
      <c r="BH199" s="109">
        <v>28881</v>
      </c>
      <c r="BI199" s="153">
        <v>27000</v>
      </c>
      <c r="BJ199" s="154">
        <v>27000</v>
      </c>
      <c r="BK199" s="155">
        <v>26304</v>
      </c>
      <c r="BL199" s="155">
        <v>52608</v>
      </c>
      <c r="BM199" s="155">
        <v>50100</v>
      </c>
    </row>
    <row r="200" spans="1:65" x14ac:dyDescent="0.3">
      <c r="A200" s="121" t="s">
        <v>32</v>
      </c>
      <c r="B200" s="121" t="s">
        <v>32</v>
      </c>
      <c r="C200" s="174" t="s">
        <v>32</v>
      </c>
      <c r="D200" s="122" t="s">
        <v>279</v>
      </c>
      <c r="E200" s="173" t="s">
        <v>279</v>
      </c>
      <c r="F200" s="111"/>
      <c r="G200" s="185">
        <f t="shared" si="34"/>
        <v>15182.782373154394</v>
      </c>
      <c r="H200" s="186"/>
      <c r="I200" s="187">
        <v>17204</v>
      </c>
      <c r="J200" s="188">
        <v>13773</v>
      </c>
      <c r="K200" s="189">
        <v>10913</v>
      </c>
      <c r="L200" s="123">
        <v>11605</v>
      </c>
      <c r="M200" s="123">
        <v>9443</v>
      </c>
      <c r="N200" s="190">
        <v>22243</v>
      </c>
      <c r="O200" s="189">
        <v>20525</v>
      </c>
      <c r="P200" s="188">
        <v>21117</v>
      </c>
      <c r="Q200" s="208">
        <v>26691</v>
      </c>
      <c r="R200" s="123">
        <v>24564</v>
      </c>
      <c r="S200" s="188"/>
      <c r="T200" s="187">
        <v>34517</v>
      </c>
      <c r="U200" s="188">
        <v>17678</v>
      </c>
      <c r="V200" s="189">
        <v>137576</v>
      </c>
      <c r="W200" s="123">
        <v>140326</v>
      </c>
      <c r="X200" s="190">
        <v>17550</v>
      </c>
      <c r="Y200" s="189">
        <v>226</v>
      </c>
      <c r="Z200" s="188">
        <v>2265</v>
      </c>
      <c r="AA200" s="123">
        <v>1447</v>
      </c>
      <c r="AB200" s="191"/>
      <c r="AC200" s="204">
        <f t="shared" si="44"/>
        <v>18959</v>
      </c>
      <c r="AD200" s="205">
        <f t="shared" si="45"/>
        <v>25694.7</v>
      </c>
      <c r="AE200" s="204">
        <f>SUM(AC200*'Factors &amp; Percentages'!$E$27+AD200*'Factors &amp; Percentages'!$E$28)</f>
        <v>3446.703796397815</v>
      </c>
      <c r="AF200" s="16"/>
      <c r="AG200" s="125">
        <v>0.3</v>
      </c>
      <c r="AH200" s="204">
        <f>AG200*'Factors &amp; Percentages'!$E$31</f>
        <v>3929.9538266266482</v>
      </c>
      <c r="AI200" s="18"/>
      <c r="AJ200" s="126">
        <v>2592</v>
      </c>
      <c r="AK200" s="204">
        <f>AJ200*'Factors &amp; Percentages'!$E$34</f>
        <v>5423.4231945827269</v>
      </c>
      <c r="AL200" s="18"/>
      <c r="AM200" s="124">
        <v>14</v>
      </c>
      <c r="AN200" s="211">
        <v>14</v>
      </c>
      <c r="AO200" s="124">
        <v>27</v>
      </c>
      <c r="AP200" s="212">
        <v>27</v>
      </c>
      <c r="AQ200" s="135">
        <v>51</v>
      </c>
      <c r="AR200" s="179">
        <f t="shared" si="35"/>
        <v>51</v>
      </c>
      <c r="AS200" s="205">
        <f>AN200*'Factors &amp; Percentages'!$E$37+AP200*'Factors &amp; Percentages'!$E$38+AR200*'Factors &amp; Percentages'!$E$39</f>
        <v>2382.7015555472053</v>
      </c>
      <c r="AT200" s="18"/>
      <c r="AU200" s="203">
        <f t="shared" si="37"/>
        <v>15182.782373154394</v>
      </c>
      <c r="AV200" s="213">
        <f t="shared" si="33"/>
        <v>15182.782373154394</v>
      </c>
      <c r="AW200" s="196">
        <f>IF($BG200&gt;$AV200,$BG200*(1+'Factors &amp; Percentages'!$B$24),
IF($AU200&gt;$AV200,$AV200,
IF($AU200&gt;$BG200,$AU200,
$BG200*(1+'Factors &amp; Percentages'!$B$24))))</f>
        <v>15182.782373154394</v>
      </c>
      <c r="AX200" s="185">
        <f t="shared" si="36"/>
        <v>15182.782373154394</v>
      </c>
      <c r="AY200" s="127"/>
      <c r="AZ200" s="27"/>
      <c r="BA200" s="223">
        <v>13223.74239662925</v>
      </c>
      <c r="BB200" s="185">
        <v>13047</v>
      </c>
      <c r="BC200" s="204">
        <v>10763</v>
      </c>
      <c r="BD200" s="218">
        <v>10250</v>
      </c>
      <c r="BE200" s="224">
        <v>11057.5</v>
      </c>
      <c r="BF200" s="219"/>
      <c r="BG200" s="221">
        <v>10251</v>
      </c>
      <c r="BH200" s="226">
        <v>10251</v>
      </c>
      <c r="BI200" s="220">
        <v>10250</v>
      </c>
      <c r="BJ200" s="227">
        <v>10251</v>
      </c>
      <c r="BK200" s="221">
        <v>10000</v>
      </c>
      <c r="BL200" s="128">
        <v>9660</v>
      </c>
      <c r="BM200" s="128">
        <v>9200</v>
      </c>
    </row>
    <row r="201" spans="1:65" x14ac:dyDescent="0.3">
      <c r="A201" s="111" t="s">
        <v>475</v>
      </c>
      <c r="B201" s="111" t="s">
        <v>475</v>
      </c>
      <c r="C201" s="112" t="s">
        <v>195</v>
      </c>
      <c r="D201" s="113" t="s">
        <v>279</v>
      </c>
      <c r="E201" s="113" t="s">
        <v>279</v>
      </c>
      <c r="F201" s="111"/>
      <c r="G201" s="46">
        <f t="shared" si="34"/>
        <v>22388.969284136627</v>
      </c>
      <c r="H201" s="111"/>
      <c r="I201" s="114">
        <v>36840</v>
      </c>
      <c r="J201" s="47">
        <v>37571</v>
      </c>
      <c r="K201" s="47">
        <v>32570</v>
      </c>
      <c r="L201" s="47">
        <v>26748</v>
      </c>
      <c r="M201" s="47">
        <v>18255</v>
      </c>
      <c r="N201" s="114">
        <v>69429</v>
      </c>
      <c r="O201" s="47">
        <v>66976</v>
      </c>
      <c r="P201" s="47">
        <v>65436</v>
      </c>
      <c r="Q201" s="115">
        <v>70621</v>
      </c>
      <c r="R201" s="47">
        <v>72934</v>
      </c>
      <c r="S201" s="47"/>
      <c r="T201" s="114">
        <v>59073</v>
      </c>
      <c r="U201" s="47">
        <v>62634</v>
      </c>
      <c r="V201" s="47">
        <v>62728</v>
      </c>
      <c r="W201" s="47">
        <v>61876</v>
      </c>
      <c r="X201" s="114">
        <v>94</v>
      </c>
      <c r="Y201" s="47">
        <v>3084</v>
      </c>
      <c r="Z201" s="47">
        <v>852</v>
      </c>
      <c r="AA201" s="47">
        <v>0</v>
      </c>
      <c r="AB201" s="47"/>
      <c r="AC201" s="16">
        <f t="shared" si="44"/>
        <v>36849.4</v>
      </c>
      <c r="AD201" s="16">
        <f t="shared" si="45"/>
        <v>75336.3</v>
      </c>
      <c r="AE201" s="16">
        <f>SUM(AC201*'Factors &amp; Percentages'!$E$27+AD201*'Factors &amp; Percentages'!$E$28)</f>
        <v>8405.2406103742542</v>
      </c>
      <c r="AF201" s="16"/>
      <c r="AG201" s="101">
        <v>0.5</v>
      </c>
      <c r="AH201" s="18">
        <f>AG201*'Factors &amp; Percentages'!$E$31</f>
        <v>6549.9230443777469</v>
      </c>
      <c r="AI201" s="18"/>
      <c r="AJ201" s="18">
        <v>666</v>
      </c>
      <c r="AK201" s="18">
        <f>AJ201*'Factors &amp; Percentages'!$E$34</f>
        <v>1393.5184597191728</v>
      </c>
      <c r="AL201" s="18"/>
      <c r="AM201" s="30">
        <v>25</v>
      </c>
      <c r="AN201" s="30">
        <v>26</v>
      </c>
      <c r="AO201" s="30">
        <v>58</v>
      </c>
      <c r="AP201" s="116">
        <v>54</v>
      </c>
      <c r="AQ201" s="115">
        <v>7562</v>
      </c>
      <c r="AR201" s="115">
        <f t="shared" si="35"/>
        <v>7562</v>
      </c>
      <c r="AS201" s="18">
        <f>AN201*'Factors &amp; Percentages'!$E$37+AP201*'Factors &amp; Percentages'!$E$38+AR201*'Factors &amp; Percentages'!$E$39</f>
        <v>6040.2871696654529</v>
      </c>
      <c r="AT201" s="18"/>
      <c r="AU201" s="18">
        <f t="shared" si="37"/>
        <v>22388.969284136627</v>
      </c>
      <c r="AV201" s="69">
        <f t="shared" si="33"/>
        <v>22388.969284136627</v>
      </c>
      <c r="AW201" s="46">
        <f>IF($BG201&gt;$AV201,$BG201*(1+'Factors &amp; Percentages'!$B$24),
IF($AU201&gt;$AV201,$AV201,
IF($AU201&gt;$BG201,$AU201,
$BG201*(1+'Factors &amp; Percentages'!$B$24))))</f>
        <v>22388.969284136627</v>
      </c>
      <c r="AX201" s="46">
        <f t="shared" si="36"/>
        <v>22388.969284136627</v>
      </c>
      <c r="AY201" s="69"/>
      <c r="AZ201" s="27"/>
      <c r="BA201" s="21">
        <v>20301.16836747641</v>
      </c>
      <c r="BB201" s="46">
        <v>21000</v>
      </c>
      <c r="BC201" s="119">
        <v>21000</v>
      </c>
      <c r="BD201" s="120">
        <v>19475</v>
      </c>
      <c r="BE201" s="120">
        <v>18994.600000000002</v>
      </c>
      <c r="BF201" s="69"/>
      <c r="BG201" s="73">
        <v>15600</v>
      </c>
      <c r="BH201" s="73">
        <v>20000</v>
      </c>
      <c r="BI201" s="117">
        <v>20000</v>
      </c>
      <c r="BJ201" s="118">
        <v>20004</v>
      </c>
      <c r="BK201" s="106">
        <v>19000</v>
      </c>
      <c r="BL201" s="106">
        <v>17640</v>
      </c>
      <c r="BM201" s="106">
        <v>16800</v>
      </c>
    </row>
    <row r="202" spans="1:65" x14ac:dyDescent="0.3">
      <c r="A202" s="121" t="s">
        <v>476</v>
      </c>
      <c r="B202" s="121" t="s">
        <v>477</v>
      </c>
      <c r="C202" s="174" t="s">
        <v>135</v>
      </c>
      <c r="D202" s="122" t="s">
        <v>302</v>
      </c>
      <c r="E202" s="173" t="s">
        <v>298</v>
      </c>
      <c r="F202" s="111"/>
      <c r="G202" s="185">
        <f t="shared" si="34"/>
        <v>23424.45</v>
      </c>
      <c r="H202" s="186"/>
      <c r="I202" s="187">
        <v>51887</v>
      </c>
      <c r="J202" s="188">
        <v>47637</v>
      </c>
      <c r="K202" s="189">
        <v>49661</v>
      </c>
      <c r="L202" s="123">
        <v>28175</v>
      </c>
      <c r="M202" s="123">
        <v>31130</v>
      </c>
      <c r="N202" s="190">
        <v>12980</v>
      </c>
      <c r="O202" s="189">
        <v>10655</v>
      </c>
      <c r="P202" s="188">
        <v>14713</v>
      </c>
      <c r="Q202" s="208">
        <v>8367</v>
      </c>
      <c r="R202" s="123">
        <v>2084</v>
      </c>
      <c r="S202" s="188"/>
      <c r="T202" s="187">
        <v>10115</v>
      </c>
      <c r="U202" s="188">
        <v>10180</v>
      </c>
      <c r="V202" s="189">
        <v>13358</v>
      </c>
      <c r="W202" s="123">
        <v>12540</v>
      </c>
      <c r="X202" s="190">
        <v>7007</v>
      </c>
      <c r="Y202" s="189">
        <v>4646</v>
      </c>
      <c r="Z202" s="188">
        <v>3428</v>
      </c>
      <c r="AA202" s="123">
        <v>1931</v>
      </c>
      <c r="AB202" s="191"/>
      <c r="AC202" s="204">
        <f t="shared" si="44"/>
        <v>52587.7</v>
      </c>
      <c r="AD202" s="205">
        <f t="shared" si="45"/>
        <v>13991.5</v>
      </c>
      <c r="AE202" s="204">
        <f>SUM(AC202*'Factors &amp; Percentages'!$E$27+AD202*'Factors &amp; Percentages'!$E$28)</f>
        <v>5712.1692300775212</v>
      </c>
      <c r="AF202" s="16"/>
      <c r="AG202" s="125">
        <v>0.5</v>
      </c>
      <c r="AH202" s="204">
        <f>AG202*'Factors &amp; Percentages'!$E$31</f>
        <v>6549.9230443777469</v>
      </c>
      <c r="AI202" s="18"/>
      <c r="AJ202" s="126">
        <v>764</v>
      </c>
      <c r="AK202" s="204">
        <f>AJ202*'Factors &amp; Percentages'!$E$34</f>
        <v>1598.5707255637358</v>
      </c>
      <c r="AL202" s="18"/>
      <c r="AM202" s="124">
        <v>32</v>
      </c>
      <c r="AN202" s="211">
        <v>31</v>
      </c>
      <c r="AO202" s="124">
        <v>62</v>
      </c>
      <c r="AP202" s="212">
        <v>59</v>
      </c>
      <c r="AQ202" s="135">
        <v>8303</v>
      </c>
      <c r="AR202" s="179">
        <f t="shared" si="35"/>
        <v>8303</v>
      </c>
      <c r="AS202" s="205">
        <f>AN202*'Factors &amp; Percentages'!$E$37+AP202*'Factors &amp; Percentages'!$E$38+AR202*'Factors &amp; Percentages'!$E$39</f>
        <v>6929.9766675468354</v>
      </c>
      <c r="AT202" s="18"/>
      <c r="AU202" s="203">
        <f t="shared" si="37"/>
        <v>20790.63966756584</v>
      </c>
      <c r="AV202" s="213">
        <f t="shared" si="33"/>
        <v>20790.63966756584</v>
      </c>
      <c r="AW202" s="196">
        <f>IF($BG202&gt;$AV202,$BG202*(1+'Factors &amp; Percentages'!$B$24),
IF($AU202&gt;$AV202,$AV202,
IF($AU202&gt;$BG202,$AU202,
$BG202*(1+'Factors &amp; Percentages'!$B$24))))</f>
        <v>23424.45</v>
      </c>
      <c r="AX202" s="185">
        <f t="shared" si="36"/>
        <v>23424.45</v>
      </c>
      <c r="AY202" s="127"/>
      <c r="AZ202" s="27"/>
      <c r="BA202" s="223">
        <v>23424.45</v>
      </c>
      <c r="BB202" s="185">
        <v>22309.350000000002</v>
      </c>
      <c r="BC202" s="204">
        <v>25320</v>
      </c>
      <c r="BD202" s="218">
        <v>20234.5</v>
      </c>
      <c r="BE202" s="224">
        <v>25829.999999999996</v>
      </c>
      <c r="BF202" s="219"/>
      <c r="BG202" s="221">
        <v>22309</v>
      </c>
      <c r="BH202" s="226">
        <v>22320</v>
      </c>
      <c r="BI202" s="220">
        <v>21247</v>
      </c>
      <c r="BJ202" s="227">
        <v>20417</v>
      </c>
      <c r="BK202" s="221">
        <v>19218</v>
      </c>
      <c r="BL202" s="128">
        <v>25200</v>
      </c>
      <c r="BM202" s="128">
        <v>27761</v>
      </c>
    </row>
    <row r="203" spans="1:65" x14ac:dyDescent="0.3">
      <c r="A203" s="111" t="s">
        <v>478</v>
      </c>
      <c r="B203" s="111" t="s">
        <v>123</v>
      </c>
      <c r="C203" s="112" t="s">
        <v>123</v>
      </c>
      <c r="D203" s="113" t="s">
        <v>302</v>
      </c>
      <c r="E203" s="113" t="s">
        <v>112</v>
      </c>
      <c r="F203" s="111"/>
      <c r="G203" s="46">
        <f t="shared" si="34"/>
        <v>23580.9</v>
      </c>
      <c r="H203" s="111"/>
      <c r="I203" s="114">
        <v>30710</v>
      </c>
      <c r="J203" s="47">
        <v>37062</v>
      </c>
      <c r="K203" s="47">
        <v>41046</v>
      </c>
      <c r="L203" s="47">
        <v>33673</v>
      </c>
      <c r="M203" s="47">
        <v>31866</v>
      </c>
      <c r="N203" s="114">
        <v>22520</v>
      </c>
      <c r="O203" s="47">
        <v>31822</v>
      </c>
      <c r="P203" s="47">
        <v>28796</v>
      </c>
      <c r="Q203" s="115">
        <v>26748</v>
      </c>
      <c r="R203" s="47">
        <v>20618</v>
      </c>
      <c r="S203" s="47"/>
      <c r="T203" s="114">
        <v>36529</v>
      </c>
      <c r="U203" s="47">
        <v>10465</v>
      </c>
      <c r="V203" s="47">
        <v>35724</v>
      </c>
      <c r="W203" s="47">
        <v>23738</v>
      </c>
      <c r="X203" s="114">
        <v>9178</v>
      </c>
      <c r="Y203" s="47">
        <v>11833</v>
      </c>
      <c r="Z203" s="47">
        <v>6392</v>
      </c>
      <c r="AA203" s="47">
        <v>4927</v>
      </c>
      <c r="AB203" s="47"/>
      <c r="AC203" s="16">
        <f t="shared" si="44"/>
        <v>31627.8</v>
      </c>
      <c r="AD203" s="16">
        <f t="shared" si="45"/>
        <v>26172.9</v>
      </c>
      <c r="AE203" s="16">
        <f>SUM(AC203*'Factors &amp; Percentages'!$E$27+AD203*'Factors &amp; Percentages'!$E$28)</f>
        <v>4628.4891491564567</v>
      </c>
      <c r="AF203" s="16"/>
      <c r="AG203" s="101">
        <v>0.3</v>
      </c>
      <c r="AH203" s="18">
        <f>AG203*'Factors &amp; Percentages'!$E$31</f>
        <v>3929.9538266266482</v>
      </c>
      <c r="AI203" s="18"/>
      <c r="AJ203" s="18">
        <v>1195</v>
      </c>
      <c r="AK203" s="18">
        <f>AJ203*'Factors &amp; Percentages'!$E$34</f>
        <v>2500.3822212678851</v>
      </c>
      <c r="AL203" s="18"/>
      <c r="AM203" s="18">
        <v>22</v>
      </c>
      <c r="AN203" s="30">
        <v>20</v>
      </c>
      <c r="AO203" s="30">
        <v>68</v>
      </c>
      <c r="AP203" s="116">
        <v>0</v>
      </c>
      <c r="AQ203" s="115">
        <v>5878</v>
      </c>
      <c r="AR203" s="115">
        <f t="shared" si="35"/>
        <v>5878</v>
      </c>
      <c r="AS203" s="18">
        <f>AN203*'Factors &amp; Percentages'!$E$37+AP203*'Factors &amp; Percentages'!$E$38+AR203*'Factors &amp; Percentages'!$E$39</f>
        <v>3684.8259968534594</v>
      </c>
      <c r="AT203" s="18"/>
      <c r="AU203" s="18">
        <f t="shared" si="37"/>
        <v>14743.65119390445</v>
      </c>
      <c r="AV203" s="69">
        <f t="shared" si="33"/>
        <v>14743.65119390445</v>
      </c>
      <c r="AW203" s="46">
        <f>IF($BG203&gt;$AV203,$BG203*(1+'Factors &amp; Percentages'!$B$24),
IF($AU203&gt;$AV203,$AV203,
IF($AU203&gt;$BG203,$AU203,
$BG203*(1+'Factors &amp; Percentages'!$B$24))))</f>
        <v>23580.9</v>
      </c>
      <c r="AX203" s="46">
        <f t="shared" si="36"/>
        <v>23580.9</v>
      </c>
      <c r="AY203" s="69"/>
      <c r="AZ203" s="27"/>
      <c r="BA203" s="21">
        <v>22458.45</v>
      </c>
      <c r="BB203" s="46">
        <v>21388.5</v>
      </c>
      <c r="BC203" s="119">
        <v>20370</v>
      </c>
      <c r="BD203" s="120">
        <v>17681.49057195491</v>
      </c>
      <c r="BE203" s="120">
        <v>22425.974999999999</v>
      </c>
      <c r="BF203" s="69"/>
      <c r="BG203" s="73">
        <v>22458</v>
      </c>
      <c r="BH203" s="73">
        <v>21600</v>
      </c>
      <c r="BI203" s="117">
        <v>20370</v>
      </c>
      <c r="BJ203" s="118">
        <v>17681</v>
      </c>
      <c r="BK203" s="106">
        <v>15000</v>
      </c>
      <c r="BL203" s="106">
        <v>21879</v>
      </c>
      <c r="BM203" s="106">
        <v>20837</v>
      </c>
    </row>
    <row r="204" spans="1:65" x14ac:dyDescent="0.3">
      <c r="A204" s="121" t="s">
        <v>144</v>
      </c>
      <c r="B204" s="121" t="s">
        <v>144</v>
      </c>
      <c r="C204" s="174" t="s">
        <v>144</v>
      </c>
      <c r="D204" s="122" t="s">
        <v>302</v>
      </c>
      <c r="E204" s="173" t="s">
        <v>316</v>
      </c>
      <c r="F204" s="111"/>
      <c r="G204" s="185">
        <f t="shared" si="34"/>
        <v>29264.662128622505</v>
      </c>
      <c r="H204" s="186"/>
      <c r="I204" s="187">
        <v>61530</v>
      </c>
      <c r="J204" s="188">
        <v>56696</v>
      </c>
      <c r="K204" s="189">
        <v>61707</v>
      </c>
      <c r="L204" s="123">
        <v>51489</v>
      </c>
      <c r="M204" s="123">
        <v>39542</v>
      </c>
      <c r="N204" s="190">
        <v>40789</v>
      </c>
      <c r="O204" s="189">
        <v>50226</v>
      </c>
      <c r="P204" s="188">
        <v>50178</v>
      </c>
      <c r="Q204" s="208">
        <v>53582</v>
      </c>
      <c r="R204" s="123">
        <v>28462</v>
      </c>
      <c r="S204" s="188"/>
      <c r="T204" s="187">
        <v>3898</v>
      </c>
      <c r="U204" s="188">
        <v>18887</v>
      </c>
      <c r="V204" s="189">
        <v>18373</v>
      </c>
      <c r="W204" s="123">
        <v>19083</v>
      </c>
      <c r="X204" s="190">
        <v>15713</v>
      </c>
      <c r="Y204" s="189">
        <v>2517</v>
      </c>
      <c r="Z204" s="188">
        <v>0</v>
      </c>
      <c r="AA204" s="123">
        <v>712</v>
      </c>
      <c r="AB204" s="191"/>
      <c r="AC204" s="204">
        <f t="shared" si="44"/>
        <v>63101.3</v>
      </c>
      <c r="AD204" s="205">
        <f t="shared" si="45"/>
        <v>41178.800000000003</v>
      </c>
      <c r="AE204" s="204">
        <f>SUM(AC204*'Factors &amp; Percentages'!$E$27+AD204*'Factors &amp; Percentages'!$E$28)</f>
        <v>8492.7523186769158</v>
      </c>
      <c r="AF204" s="16"/>
      <c r="AG204" s="125">
        <v>0.5</v>
      </c>
      <c r="AH204" s="204">
        <f>AG204*'Factors &amp; Percentages'!$E$31</f>
        <v>6549.9230443777469</v>
      </c>
      <c r="AI204" s="18"/>
      <c r="AJ204" s="126">
        <v>1829</v>
      </c>
      <c r="AK204" s="204">
        <f>AJ204*'Factors &amp; Percentages'!$E$34</f>
        <v>3826.9448390786292</v>
      </c>
      <c r="AL204" s="18"/>
      <c r="AM204" s="129">
        <v>46</v>
      </c>
      <c r="AN204" s="211">
        <v>46</v>
      </c>
      <c r="AO204" s="124">
        <v>103</v>
      </c>
      <c r="AP204" s="212">
        <v>103</v>
      </c>
      <c r="AQ204" s="135">
        <v>11094</v>
      </c>
      <c r="AR204" s="179">
        <f t="shared" si="35"/>
        <v>11094</v>
      </c>
      <c r="AS204" s="205">
        <f>AN204*'Factors &amp; Percentages'!$E$37+AP204*'Factors &amp; Percentages'!$E$38+AR204*'Factors &amp; Percentages'!$E$39</f>
        <v>10395.041926489213</v>
      </c>
      <c r="AT204" s="18"/>
      <c r="AU204" s="203">
        <f t="shared" si="37"/>
        <v>29264.662128622505</v>
      </c>
      <c r="AV204" s="213">
        <f t="shared" si="33"/>
        <v>29264.662128622505</v>
      </c>
      <c r="AW204" s="196">
        <f>IF($BG204&gt;$AV204,$BG204*(1+'Factors &amp; Percentages'!$B$24),
IF($AU204&gt;$AV204,$AV204,
IF($AU204&gt;$BG204,$AU204,
$BG204*(1+'Factors &amp; Percentages'!$B$24))))</f>
        <v>29264.662128622505</v>
      </c>
      <c r="AX204" s="185">
        <f t="shared" si="36"/>
        <v>29264.662128622505</v>
      </c>
      <c r="AY204" s="127"/>
      <c r="AZ204" s="27"/>
      <c r="BA204" s="223">
        <v>29767.5</v>
      </c>
      <c r="BB204" s="185">
        <v>28350</v>
      </c>
      <c r="BC204" s="204">
        <v>33468</v>
      </c>
      <c r="BD204" s="218">
        <v>30749.999999999996</v>
      </c>
      <c r="BE204" s="224">
        <v>37668.75</v>
      </c>
      <c r="BF204" s="219"/>
      <c r="BG204" s="221">
        <v>28500</v>
      </c>
      <c r="BH204" s="226">
        <v>28350</v>
      </c>
      <c r="BI204" s="220">
        <v>27000</v>
      </c>
      <c r="BJ204" s="227">
        <v>30750</v>
      </c>
      <c r="BK204" s="221">
        <v>30000</v>
      </c>
      <c r="BL204" s="128">
        <v>36750</v>
      </c>
      <c r="BM204" s="128">
        <v>36750</v>
      </c>
    </row>
    <row r="205" spans="1:65" x14ac:dyDescent="0.3">
      <c r="A205" s="111" t="s">
        <v>55</v>
      </c>
      <c r="B205" s="111" t="s">
        <v>55</v>
      </c>
      <c r="C205" s="112" t="s">
        <v>55</v>
      </c>
      <c r="D205" s="113" t="s">
        <v>279</v>
      </c>
      <c r="E205" s="113" t="s">
        <v>281</v>
      </c>
      <c r="F205" s="111"/>
      <c r="G205" s="46">
        <f t="shared" si="34"/>
        <v>9802.65</v>
      </c>
      <c r="H205" s="111"/>
      <c r="I205" s="114">
        <v>15081</v>
      </c>
      <c r="J205" s="47">
        <v>17994</v>
      </c>
      <c r="K205" s="47">
        <v>14937</v>
      </c>
      <c r="L205" s="47">
        <v>19331</v>
      </c>
      <c r="M205" s="47">
        <v>13561</v>
      </c>
      <c r="N205" s="114">
        <v>5330</v>
      </c>
      <c r="O205" s="47">
        <v>4980</v>
      </c>
      <c r="P205" s="47">
        <v>7383</v>
      </c>
      <c r="Q205" s="115">
        <v>7857</v>
      </c>
      <c r="R205" s="47">
        <v>5956</v>
      </c>
      <c r="S205" s="47"/>
      <c r="T205" s="114">
        <v>8505</v>
      </c>
      <c r="U205" s="47">
        <v>3920</v>
      </c>
      <c r="V205" s="47">
        <v>4003</v>
      </c>
      <c r="W205" s="47">
        <v>5710</v>
      </c>
      <c r="X205" s="114">
        <v>5370</v>
      </c>
      <c r="Y205" s="47">
        <v>841</v>
      </c>
      <c r="Z205" s="47">
        <v>1185</v>
      </c>
      <c r="AA205" s="47">
        <v>8797</v>
      </c>
      <c r="AB205" s="47"/>
      <c r="AC205" s="16">
        <f t="shared" si="44"/>
        <v>15618</v>
      </c>
      <c r="AD205" s="16">
        <f t="shared" si="45"/>
        <v>6180.5</v>
      </c>
      <c r="AE205" s="16">
        <f>SUM(AC205*'Factors &amp; Percentages'!$E$27+AD205*'Factors &amp; Percentages'!$E$28)</f>
        <v>1832.5102418369406</v>
      </c>
      <c r="AF205" s="16"/>
      <c r="AG205" s="101">
        <v>0.25</v>
      </c>
      <c r="AH205" s="18">
        <f>AG205*'Factors &amp; Percentages'!$E$31</f>
        <v>3274.9615221888735</v>
      </c>
      <c r="AI205" s="18"/>
      <c r="AJ205" s="18">
        <v>8940</v>
      </c>
      <c r="AK205" s="18">
        <f>AJ205*'Factors &amp; Percentages'!$E$34</f>
        <v>18705.788333167275</v>
      </c>
      <c r="AL205" s="18"/>
      <c r="AM205" s="30">
        <v>18</v>
      </c>
      <c r="AN205" s="30">
        <v>18</v>
      </c>
      <c r="AO205" s="30">
        <v>35</v>
      </c>
      <c r="AP205" s="116">
        <v>35</v>
      </c>
      <c r="AQ205" s="115">
        <v>386</v>
      </c>
      <c r="AR205" s="115">
        <f t="shared" si="35"/>
        <v>386</v>
      </c>
      <c r="AS205" s="18">
        <f>AN205*'Factors &amp; Percentages'!$E$37+AP205*'Factors &amp; Percentages'!$E$38+AR205*'Factors &amp; Percentages'!$E$39</f>
        <v>3135.6047909801864</v>
      </c>
      <c r="AT205" s="18"/>
      <c r="AU205" s="18">
        <f t="shared" si="37"/>
        <v>26948.864888173273</v>
      </c>
      <c r="AV205" s="69">
        <f t="shared" si="33"/>
        <v>9802.65</v>
      </c>
      <c r="AW205" s="46">
        <f>IF($BG205&gt;$AV205,$BG205*(1+'Factors &amp; Percentages'!$B$24),
IF($AU205&gt;$AV205,$AV205,
IF($AU205&gt;$BG205,$AU205,
$BG205*(1+'Factors &amp; Percentages'!$B$24))))</f>
        <v>9802.65</v>
      </c>
      <c r="AX205" s="46">
        <f t="shared" si="36"/>
        <v>9802.65</v>
      </c>
      <c r="AY205" s="69"/>
      <c r="AZ205" s="27"/>
      <c r="BA205" s="21">
        <v>11696.1</v>
      </c>
      <c r="BB205" s="46">
        <v>10217.550000000001</v>
      </c>
      <c r="BC205" s="119">
        <v>12565</v>
      </c>
      <c r="BD205" s="120">
        <v>9225</v>
      </c>
      <c r="BE205" s="120">
        <v>10134.25</v>
      </c>
      <c r="BF205" s="69"/>
      <c r="BG205" s="73">
        <v>9000</v>
      </c>
      <c r="BH205" s="73">
        <v>9000</v>
      </c>
      <c r="BI205" s="117">
        <v>9731</v>
      </c>
      <c r="BJ205" s="118">
        <v>9225</v>
      </c>
      <c r="BK205" s="106">
        <v>9000</v>
      </c>
      <c r="BL205" s="106">
        <v>7700</v>
      </c>
      <c r="BM205" s="106">
        <v>7500</v>
      </c>
    </row>
    <row r="206" spans="1:65" x14ac:dyDescent="0.3">
      <c r="A206" s="121" t="s">
        <v>479</v>
      </c>
      <c r="B206" s="121" t="s">
        <v>480</v>
      </c>
      <c r="C206" s="174" t="s">
        <v>111</v>
      </c>
      <c r="D206" s="122" t="s">
        <v>295</v>
      </c>
      <c r="E206" s="173" t="s">
        <v>295</v>
      </c>
      <c r="F206" s="111"/>
      <c r="G206" s="185">
        <f t="shared" si="34"/>
        <v>21720.641930875849</v>
      </c>
      <c r="H206" s="186"/>
      <c r="I206" s="187">
        <v>38829</v>
      </c>
      <c r="J206" s="188">
        <v>34344</v>
      </c>
      <c r="K206" s="189">
        <v>38900</v>
      </c>
      <c r="L206" s="123">
        <v>33482</v>
      </c>
      <c r="M206" s="123">
        <v>33726</v>
      </c>
      <c r="N206" s="190">
        <v>24436</v>
      </c>
      <c r="O206" s="189">
        <v>22484</v>
      </c>
      <c r="P206" s="188">
        <v>26243</v>
      </c>
      <c r="Q206" s="208">
        <v>20542</v>
      </c>
      <c r="R206" s="123">
        <v>15660</v>
      </c>
      <c r="S206" s="188"/>
      <c r="T206" s="187">
        <v>2335</v>
      </c>
      <c r="U206" s="188">
        <v>2319</v>
      </c>
      <c r="V206" s="189">
        <v>2309</v>
      </c>
      <c r="W206" s="123">
        <v>2227</v>
      </c>
      <c r="X206" s="190">
        <v>16</v>
      </c>
      <c r="Y206" s="189">
        <v>10</v>
      </c>
      <c r="Z206" s="188">
        <v>82</v>
      </c>
      <c r="AA206" s="123">
        <v>0</v>
      </c>
      <c r="AB206" s="191"/>
      <c r="AC206" s="204">
        <f t="shared" si="44"/>
        <v>38830.6</v>
      </c>
      <c r="AD206" s="205">
        <f t="shared" si="45"/>
        <v>24669.5</v>
      </c>
      <c r="AE206" s="204">
        <f>SUM(AC206*'Factors &amp; Percentages'!$E$27+AD206*'Factors &amp; Percentages'!$E$28)</f>
        <v>5181.1217502397831</v>
      </c>
      <c r="AF206" s="16"/>
      <c r="AG206" s="125">
        <v>0.33333333333333331</v>
      </c>
      <c r="AH206" s="204">
        <f>AG206*'Factors &amp; Percentages'!$E$31</f>
        <v>4366.6153629184973</v>
      </c>
      <c r="AI206" s="18"/>
      <c r="AJ206" s="126">
        <v>2523</v>
      </c>
      <c r="AK206" s="204">
        <f>AJ206*'Factors &amp; Percentages'!$E$34</f>
        <v>5279.0496604676773</v>
      </c>
      <c r="AL206" s="18"/>
      <c r="AM206" s="124">
        <v>26</v>
      </c>
      <c r="AN206" s="211">
        <v>29</v>
      </c>
      <c r="AO206" s="124">
        <v>66</v>
      </c>
      <c r="AP206" s="212">
        <v>66</v>
      </c>
      <c r="AQ206" s="135">
        <v>8539</v>
      </c>
      <c r="AR206" s="179">
        <f t="shared" si="35"/>
        <v>8539</v>
      </c>
      <c r="AS206" s="205">
        <f>AN206*'Factors &amp; Percentages'!$E$37+AP206*'Factors &amp; Percentages'!$E$38+AR206*'Factors &amp; Percentages'!$E$39</f>
        <v>6893.85515724989</v>
      </c>
      <c r="AT206" s="18"/>
      <c r="AU206" s="203">
        <f t="shared" si="37"/>
        <v>21720.641930875849</v>
      </c>
      <c r="AV206" s="213">
        <f t="shared" si="33"/>
        <v>21720.641930875849</v>
      </c>
      <c r="AW206" s="196">
        <f>IF($BG206&gt;$AV206,$BG206*(1+'Factors &amp; Percentages'!$B$24),
IF($AU206&gt;$AV206,$AV206,
IF($AU206&gt;$BG206,$AU206,
$BG206*(1+'Factors &amp; Percentages'!$B$24))))</f>
        <v>21720.641930875849</v>
      </c>
      <c r="AX206" s="185">
        <f t="shared" si="36"/>
        <v>21720.641930875849</v>
      </c>
      <c r="AY206" s="127"/>
      <c r="AZ206" s="27"/>
      <c r="BA206" s="223">
        <v>21889.350000000002</v>
      </c>
      <c r="BB206" s="185">
        <v>22851.15</v>
      </c>
      <c r="BC206" s="204">
        <v>21763</v>
      </c>
      <c r="BD206" s="218">
        <v>21921.9</v>
      </c>
      <c r="BE206" s="224">
        <v>21378.823497498903</v>
      </c>
      <c r="BF206" s="219"/>
      <c r="BG206" s="221">
        <v>21681</v>
      </c>
      <c r="BH206" s="226">
        <v>20847</v>
      </c>
      <c r="BI206" s="220">
        <v>21763</v>
      </c>
      <c r="BJ206" s="227">
        <v>20847</v>
      </c>
      <c r="BK206" s="221">
        <v>20240</v>
      </c>
      <c r="BL206" s="128">
        <v>19650</v>
      </c>
      <c r="BM206" s="128">
        <v>19650</v>
      </c>
    </row>
    <row r="207" spans="1:65" x14ac:dyDescent="0.3">
      <c r="A207" s="111" t="s">
        <v>481</v>
      </c>
      <c r="B207" s="111" t="s">
        <v>481</v>
      </c>
      <c r="C207" s="112" t="s">
        <v>33</v>
      </c>
      <c r="D207" s="113" t="s">
        <v>279</v>
      </c>
      <c r="E207" s="113" t="s">
        <v>279</v>
      </c>
      <c r="F207" s="111"/>
      <c r="G207" s="46">
        <f t="shared" si="34"/>
        <v>11731.2</v>
      </c>
      <c r="H207" s="111"/>
      <c r="I207" s="114">
        <v>18048</v>
      </c>
      <c r="J207" s="47">
        <v>17538</v>
      </c>
      <c r="K207" s="47">
        <v>14663</v>
      </c>
      <c r="L207" s="47">
        <v>13021</v>
      </c>
      <c r="M207" s="47">
        <v>10612</v>
      </c>
      <c r="N207" s="114">
        <v>12430</v>
      </c>
      <c r="O207" s="47">
        <v>13272</v>
      </c>
      <c r="P207" s="47">
        <v>10803</v>
      </c>
      <c r="Q207" s="115">
        <v>12737</v>
      </c>
      <c r="R207" s="47">
        <v>11408</v>
      </c>
      <c r="S207" s="47"/>
      <c r="T207" s="114">
        <v>17554</v>
      </c>
      <c r="U207" s="47">
        <v>21793</v>
      </c>
      <c r="V207" s="47">
        <v>19058</v>
      </c>
      <c r="W207" s="47">
        <v>17633</v>
      </c>
      <c r="X207" s="114">
        <v>4771</v>
      </c>
      <c r="Y207" s="47">
        <v>4574</v>
      </c>
      <c r="Z207" s="47">
        <v>4677</v>
      </c>
      <c r="AA207" s="47">
        <v>4810</v>
      </c>
      <c r="AB207" s="47"/>
      <c r="AC207" s="16">
        <f t="shared" si="44"/>
        <v>18525.099999999999</v>
      </c>
      <c r="AD207" s="16">
        <f t="shared" si="45"/>
        <v>14185.4</v>
      </c>
      <c r="AE207" s="16">
        <f>SUM(AC207*'Factors &amp; Percentages'!$E$27+AD207*'Factors &amp; Percentages'!$E$28)</f>
        <v>2634.1084156817151</v>
      </c>
      <c r="AF207" s="16"/>
      <c r="AG207" s="30">
        <v>0.16500000000000001</v>
      </c>
      <c r="AH207" s="18">
        <f>AG207*'Factors &amp; Percentages'!$E$31</f>
        <v>2161.4746046446567</v>
      </c>
      <c r="AI207" s="18"/>
      <c r="AJ207" s="18">
        <v>7684</v>
      </c>
      <c r="AK207" s="18">
        <f>AJ207*'Factors &amp; Percentages'!$E$34</f>
        <v>16077.771538261448</v>
      </c>
      <c r="AL207" s="18"/>
      <c r="AM207" s="30">
        <v>16</v>
      </c>
      <c r="AN207" s="30">
        <v>20</v>
      </c>
      <c r="AO207" s="30">
        <v>38</v>
      </c>
      <c r="AP207" s="116">
        <v>42</v>
      </c>
      <c r="AQ207" s="115">
        <v>851</v>
      </c>
      <c r="AR207" s="115">
        <f t="shared" si="35"/>
        <v>851</v>
      </c>
      <c r="AS207" s="18">
        <f>AN207*'Factors &amp; Percentages'!$E$37+AP207*'Factors &amp; Percentages'!$E$38+AR207*'Factors &amp; Percentages'!$E$39</f>
        <v>3643.1520662879966</v>
      </c>
      <c r="AT207" s="18"/>
      <c r="AU207" s="18">
        <f t="shared" si="37"/>
        <v>24516.506624875816</v>
      </c>
      <c r="AV207" s="69">
        <f t="shared" si="33"/>
        <v>11731.2</v>
      </c>
      <c r="AW207" s="46">
        <f>IF($BG207&gt;$AV207,$BG207*(1+'Factors &amp; Percentages'!$B$24),
IF($AU207&gt;$AV207,$AV207,
IF($AU207&gt;$BG207,$AU207,
$BG207*(1+'Factors &amp; Percentages'!$B$24))))</f>
        <v>11731.2</v>
      </c>
      <c r="AX207" s="46">
        <f t="shared" si="36"/>
        <v>11731.2</v>
      </c>
      <c r="AY207" s="69"/>
      <c r="AZ207" s="27"/>
      <c r="BA207" s="21">
        <v>11399.7</v>
      </c>
      <c r="BB207" s="46">
        <v>9530.9500000000007</v>
      </c>
      <c r="BC207" s="119">
        <v>8925</v>
      </c>
      <c r="BD207" s="120">
        <v>8202.0499999999993</v>
      </c>
      <c r="BE207" s="120">
        <v>9492</v>
      </c>
      <c r="BF207" s="69"/>
      <c r="BG207" s="73">
        <v>11400</v>
      </c>
      <c r="BH207" s="73">
        <v>9531</v>
      </c>
      <c r="BI207" s="117">
        <v>8612</v>
      </c>
      <c r="BJ207" s="118">
        <v>8500</v>
      </c>
      <c r="BK207" s="106">
        <v>8002</v>
      </c>
      <c r="BL207" s="106">
        <v>6502</v>
      </c>
      <c r="BM207" s="106">
        <v>6134</v>
      </c>
    </row>
    <row r="208" spans="1:65" x14ac:dyDescent="0.3">
      <c r="A208" s="121" t="s">
        <v>196</v>
      </c>
      <c r="B208" s="121" t="s">
        <v>196</v>
      </c>
      <c r="C208" s="174" t="s">
        <v>196</v>
      </c>
      <c r="D208" s="122" t="s">
        <v>279</v>
      </c>
      <c r="E208" s="173" t="s">
        <v>281</v>
      </c>
      <c r="F208" s="111"/>
      <c r="G208" s="185">
        <f t="shared" si="34"/>
        <v>31978.09849212984</v>
      </c>
      <c r="H208" s="186"/>
      <c r="I208" s="187">
        <v>35959</v>
      </c>
      <c r="J208" s="188">
        <v>27496</v>
      </c>
      <c r="K208" s="189">
        <v>29005</v>
      </c>
      <c r="L208" s="123">
        <v>37512</v>
      </c>
      <c r="M208" s="123">
        <v>24914</v>
      </c>
      <c r="N208" s="190">
        <v>35045</v>
      </c>
      <c r="O208" s="189">
        <v>13204</v>
      </c>
      <c r="P208" s="188">
        <v>12984</v>
      </c>
      <c r="Q208" s="208">
        <v>14785</v>
      </c>
      <c r="R208" s="123">
        <v>7999</v>
      </c>
      <c r="S208" s="188"/>
      <c r="T208" s="187">
        <v>368982</v>
      </c>
      <c r="U208" s="188">
        <v>380551</v>
      </c>
      <c r="V208" s="189">
        <v>352426</v>
      </c>
      <c r="W208" s="123">
        <v>395690</v>
      </c>
      <c r="X208" s="190">
        <v>19869</v>
      </c>
      <c r="Y208" s="189">
        <v>19869</v>
      </c>
      <c r="Z208" s="188">
        <v>27084</v>
      </c>
      <c r="AA208" s="123">
        <v>19389</v>
      </c>
      <c r="AB208" s="191"/>
      <c r="AC208" s="204">
        <f t="shared" si="44"/>
        <v>37945.9</v>
      </c>
      <c r="AD208" s="205">
        <f t="shared" si="45"/>
        <v>71943.200000000012</v>
      </c>
      <c r="AE208" s="204">
        <f>SUM(AC208*'Factors &amp; Percentages'!$E$27+AD208*'Factors &amp; Percentages'!$E$28)</f>
        <v>8276.789037084829</v>
      </c>
      <c r="AF208" s="16"/>
      <c r="AG208" s="125">
        <v>0.17</v>
      </c>
      <c r="AH208" s="204">
        <f>AG208*'Factors &amp; Percentages'!$E$31</f>
        <v>2226.973835088434</v>
      </c>
      <c r="AI208" s="18"/>
      <c r="AJ208" s="126">
        <v>7585</v>
      </c>
      <c r="AK208" s="204">
        <f>AJ208*'Factors &amp; Percentages'!$E$34</f>
        <v>15870.626902357246</v>
      </c>
      <c r="AL208" s="18"/>
      <c r="AM208" s="124">
        <v>26</v>
      </c>
      <c r="AN208" s="211">
        <v>28</v>
      </c>
      <c r="AO208" s="124">
        <v>72</v>
      </c>
      <c r="AP208" s="212">
        <v>70</v>
      </c>
      <c r="AQ208" s="135">
        <v>2370</v>
      </c>
      <c r="AR208" s="179">
        <f t="shared" si="35"/>
        <v>2370</v>
      </c>
      <c r="AS208" s="205">
        <f>AN208*'Factors &amp; Percentages'!$E$37+AP208*'Factors &amp; Percentages'!$E$38+AR208*'Factors &amp; Percentages'!$E$39</f>
        <v>5603.708717599332</v>
      </c>
      <c r="AT208" s="18"/>
      <c r="AU208" s="203">
        <f t="shared" si="37"/>
        <v>31978.09849212984</v>
      </c>
      <c r="AV208" s="213">
        <f t="shared" si="33"/>
        <v>31978.09849212984</v>
      </c>
      <c r="AW208" s="196">
        <f>IF($BG208&gt;$AV208,$BG208*(1+'Factors &amp; Percentages'!$B$24),
IF($AU208&gt;$AV208,$AV208,
IF($AU208&gt;$BG208,$AU208,
$BG208*(1+'Factors &amp; Percentages'!$B$24))))</f>
        <v>31978.09849212984</v>
      </c>
      <c r="AX208" s="185">
        <f t="shared" si="36"/>
        <v>31978.09849212984</v>
      </c>
      <c r="AY208" s="127"/>
      <c r="AZ208" s="27"/>
      <c r="BA208" s="223">
        <v>21525</v>
      </c>
      <c r="BB208" s="185">
        <v>22614.9</v>
      </c>
      <c r="BC208" s="204">
        <v>24383</v>
      </c>
      <c r="BD208" s="218">
        <v>21538.324999999997</v>
      </c>
      <c r="BE208" s="224">
        <v>21012.499999999996</v>
      </c>
      <c r="BF208" s="219"/>
      <c r="BG208" s="221">
        <v>21525</v>
      </c>
      <c r="BH208" s="226">
        <v>20509</v>
      </c>
      <c r="BI208" s="220">
        <v>21538</v>
      </c>
      <c r="BJ208" s="227">
        <v>21538</v>
      </c>
      <c r="BK208" s="221">
        <v>21013</v>
      </c>
      <c r="BL208" s="128">
        <v>20500</v>
      </c>
      <c r="BM208" s="128">
        <v>20000</v>
      </c>
    </row>
    <row r="209" spans="1:65" x14ac:dyDescent="0.3">
      <c r="A209" s="111"/>
      <c r="B209" s="111"/>
      <c r="C209" s="112" t="s">
        <v>43</v>
      </c>
      <c r="D209" s="113" t="s">
        <v>279</v>
      </c>
      <c r="E209" s="113" t="s">
        <v>279</v>
      </c>
      <c r="F209" s="111"/>
      <c r="G209" s="46">
        <f t="shared" si="34"/>
        <v>6014.0546377258361</v>
      </c>
      <c r="H209" s="111"/>
      <c r="I209" s="114">
        <v>52703</v>
      </c>
      <c r="J209" s="47">
        <v>55800</v>
      </c>
      <c r="K209" s="47">
        <v>43250</v>
      </c>
      <c r="L209" s="47">
        <v>40189</v>
      </c>
      <c r="M209" s="47">
        <v>46926</v>
      </c>
      <c r="N209" s="114">
        <v>35468</v>
      </c>
      <c r="O209" s="47">
        <v>28886</v>
      </c>
      <c r="P209" s="47">
        <v>21758</v>
      </c>
      <c r="Q209" s="115">
        <v>24805</v>
      </c>
      <c r="R209" s="47">
        <v>22789</v>
      </c>
      <c r="S209" s="47"/>
      <c r="T209" s="114">
        <v>0</v>
      </c>
      <c r="U209" s="47">
        <v>0</v>
      </c>
      <c r="V209" s="47">
        <v>0</v>
      </c>
      <c r="W209" s="47">
        <v>0</v>
      </c>
      <c r="X209" s="114">
        <v>660</v>
      </c>
      <c r="Y209" s="47">
        <v>2428</v>
      </c>
      <c r="Z209" s="47">
        <v>0</v>
      </c>
      <c r="AA209" s="47">
        <v>631</v>
      </c>
      <c r="AB209" s="47"/>
      <c r="AC209" s="16">
        <f t="shared" si="44"/>
        <v>52769</v>
      </c>
      <c r="AD209" s="16">
        <f t="shared" si="45"/>
        <v>35468</v>
      </c>
      <c r="AE209" s="16">
        <f>SUM(AC209*'Factors &amp; Percentages'!$E$27+AD209*'Factors &amp; Percentages'!$E$28)</f>
        <v>7171.4603234025471</v>
      </c>
      <c r="AF209" s="16"/>
      <c r="AG209" s="101">
        <v>0.2</v>
      </c>
      <c r="AH209" s="18">
        <f>AG209*'Factors &amp; Percentages'!$E$31</f>
        <v>2619.9692177510988</v>
      </c>
      <c r="AI209" s="18"/>
      <c r="AJ209" s="160">
        <v>848</v>
      </c>
      <c r="AK209" s="18">
        <f>AJ209*'Factors &amp; Percentages'!$E$34</f>
        <v>1774.3298105733611</v>
      </c>
      <c r="AL209" s="18"/>
      <c r="AM209" s="137">
        <v>20</v>
      </c>
      <c r="AN209" s="30">
        <v>20</v>
      </c>
      <c r="AO209" s="137">
        <v>42</v>
      </c>
      <c r="AP209" s="116">
        <v>42</v>
      </c>
      <c r="AQ209" s="115"/>
      <c r="AR209" s="115">
        <f t="shared" si="35"/>
        <v>0</v>
      </c>
      <c r="AS209" s="18">
        <f>AN209*'Factors &amp; Percentages'!$E$37+AP209*'Factors &amp; Percentages'!$E$38+AR209*'Factors &amp; Percentages'!$E$39</f>
        <v>3469.3772425875832</v>
      </c>
      <c r="AT209" s="18"/>
      <c r="AU209" s="18">
        <f t="shared" si="37"/>
        <v>15035.13659431459</v>
      </c>
      <c r="AV209" s="69">
        <f t="shared" si="33"/>
        <v>15035.13659431459</v>
      </c>
      <c r="AW209" s="46">
        <f>IF($BG209&gt;$AV209,$BG209*(1+'Factors &amp; Percentages'!$B$24),
IF($AU209&gt;$AV209,$AV209,
IF($AU209&gt;$BG209,$AU209,
$BG209*(1+'Factors &amp; Percentages'!$B$24))))</f>
        <v>15035.13659431459</v>
      </c>
      <c r="AX209" s="46">
        <f>0.4*MIN(AW209,+AG209*2*AY$2)</f>
        <v>6014.0546377258361</v>
      </c>
      <c r="AY209" s="69"/>
      <c r="AZ209" s="27"/>
      <c r="BA209" s="21">
        <v>5457.1134673684173</v>
      </c>
      <c r="BB209" s="46">
        <v>5279</v>
      </c>
      <c r="BC209" s="119">
        <v>5055</v>
      </c>
      <c r="BD209" s="120">
        <v>15975.067528214167</v>
      </c>
      <c r="BE209" s="120">
        <v>17656.210009931809</v>
      </c>
      <c r="BF209" s="69"/>
      <c r="BG209" s="73">
        <v>2890</v>
      </c>
      <c r="BH209" s="73">
        <v>4912</v>
      </c>
      <c r="BI209" s="117">
        <v>4912</v>
      </c>
      <c r="BJ209" s="118">
        <v>4912</v>
      </c>
      <c r="BK209" s="106">
        <v>14011</v>
      </c>
      <c r="BL209" s="106">
        <v>14011</v>
      </c>
      <c r="BM209" s="106">
        <v>14011</v>
      </c>
    </row>
    <row r="210" spans="1:65" x14ac:dyDescent="0.3">
      <c r="A210" s="25"/>
      <c r="B210" s="25"/>
      <c r="G210" s="197"/>
      <c r="H210" s="191"/>
      <c r="I210" s="191"/>
      <c r="J210" s="191"/>
      <c r="K210" s="191"/>
      <c r="N210" s="191"/>
      <c r="O210" s="191"/>
      <c r="P210" s="191"/>
      <c r="R210" s="47"/>
      <c r="S210" s="191"/>
      <c r="T210" s="191"/>
      <c r="U210" s="191"/>
      <c r="V210" s="191"/>
      <c r="W210" s="47"/>
      <c r="X210" s="191"/>
      <c r="Y210" s="191"/>
      <c r="Z210" s="191"/>
      <c r="AA210" s="47"/>
      <c r="AB210" s="191"/>
      <c r="AC210" s="197"/>
      <c r="AD210" s="197"/>
      <c r="AE210" s="197"/>
      <c r="AU210" s="202"/>
      <c r="AV210" s="202"/>
      <c r="AW210" s="197"/>
      <c r="AX210" s="202"/>
      <c r="BA210" s="202"/>
      <c r="BB210" s="197"/>
      <c r="BC210" s="197"/>
      <c r="BD210" s="197"/>
      <c r="BE210" s="197"/>
      <c r="BF210" s="202"/>
      <c r="BG210" s="222"/>
      <c r="BH210" s="202"/>
      <c r="BI210" s="202"/>
      <c r="BJ210" s="191"/>
      <c r="BK210" s="197"/>
      <c r="BL210" s="72"/>
      <c r="BM210" s="72"/>
    </row>
    <row r="211" spans="1:65" ht="15" thickBot="1" x14ac:dyDescent="0.35">
      <c r="G211" s="198">
        <f>SUM(G3:G209)</f>
        <v>5963193.9206064641</v>
      </c>
      <c r="H211" s="191"/>
      <c r="I211" s="199">
        <f t="shared" ref="I211:R211" si="46">SUM(I3:I210)</f>
        <v>9870225</v>
      </c>
      <c r="J211" s="200">
        <f t="shared" si="46"/>
        <v>9829547</v>
      </c>
      <c r="K211" s="199">
        <f t="shared" si="46"/>
        <v>9406322</v>
      </c>
      <c r="L211" s="48">
        <f t="shared" si="46"/>
        <v>8255170</v>
      </c>
      <c r="M211" s="48">
        <f t="shared" si="46"/>
        <v>8196860</v>
      </c>
      <c r="N211" s="200">
        <f t="shared" si="46"/>
        <v>8429827.4000000004</v>
      </c>
      <c r="O211" s="199">
        <f t="shared" si="46"/>
        <v>8548133</v>
      </c>
      <c r="P211" s="200">
        <f t="shared" si="46"/>
        <v>8194425</v>
      </c>
      <c r="Q211" s="177">
        <f t="shared" si="46"/>
        <v>8455651</v>
      </c>
      <c r="R211" s="178">
        <f t="shared" si="46"/>
        <v>7649227</v>
      </c>
      <c r="S211" s="201"/>
      <c r="T211" s="199">
        <f t="shared" ref="T211:AA211" si="47">SUM(T3:T210)</f>
        <v>5605033.1400000006</v>
      </c>
      <c r="U211" s="200">
        <f t="shared" si="47"/>
        <v>5782559</v>
      </c>
      <c r="V211" s="199">
        <f t="shared" si="47"/>
        <v>5986152</v>
      </c>
      <c r="W211" s="48">
        <f t="shared" si="47"/>
        <v>6570301</v>
      </c>
      <c r="X211" s="200">
        <f t="shared" si="47"/>
        <v>1133867</v>
      </c>
      <c r="Y211" s="199">
        <f t="shared" si="47"/>
        <v>1077567</v>
      </c>
      <c r="Z211" s="200">
        <f t="shared" si="47"/>
        <v>1542549</v>
      </c>
      <c r="AA211" s="48">
        <f t="shared" si="47"/>
        <v>1081817</v>
      </c>
      <c r="AB211" s="201"/>
      <c r="AC211" s="206">
        <f t="shared" ref="AC211:AV211" si="48">SUM(AC3:AC210)</f>
        <v>9983611.7000000011</v>
      </c>
      <c r="AD211" s="209">
        <f t="shared" si="48"/>
        <v>8990330.7140000034</v>
      </c>
      <c r="AE211" s="206">
        <f t="shared" si="48"/>
        <v>1509975.5924985276</v>
      </c>
      <c r="AF211" s="48"/>
      <c r="AG211" s="210">
        <f t="shared" si="48"/>
        <v>115.26666666676668</v>
      </c>
      <c r="AH211" s="206">
        <f t="shared" si="48"/>
        <v>1509975.5924985267</v>
      </c>
      <c r="AI211" s="48"/>
      <c r="AJ211" s="178">
        <f t="shared" si="48"/>
        <v>721658</v>
      </c>
      <c r="AK211" s="206">
        <f t="shared" si="48"/>
        <v>1509975.5924985271</v>
      </c>
      <c r="AL211" s="48"/>
      <c r="AM211" s="178">
        <f t="shared" si="48"/>
        <v>7084</v>
      </c>
      <c r="AN211" s="177">
        <f t="shared" si="48"/>
        <v>7293</v>
      </c>
      <c r="AO211" s="178">
        <f t="shared" si="48"/>
        <v>14157</v>
      </c>
      <c r="AP211" s="177">
        <f t="shared" si="48"/>
        <v>12879</v>
      </c>
      <c r="AQ211" s="178">
        <f t="shared" si="48"/>
        <v>1478913</v>
      </c>
      <c r="AR211" s="177">
        <f t="shared" si="48"/>
        <v>1478913</v>
      </c>
      <c r="AS211" s="209">
        <f t="shared" si="48"/>
        <v>1509975.5924985281</v>
      </c>
      <c r="AT211" s="48"/>
      <c r="AU211" s="199">
        <f t="shared" si="48"/>
        <v>6039902.3699941067</v>
      </c>
      <c r="AV211" s="200">
        <f t="shared" si="48"/>
        <v>5693515.1721086409</v>
      </c>
      <c r="AW211" s="214">
        <f>SUM(AW3:AW209)</f>
        <v>6019184.9489512211</v>
      </c>
      <c r="AX211" s="215">
        <f>SUM(AX3:AX209)</f>
        <v>5963193.9206280084</v>
      </c>
      <c r="AY211" s="47"/>
      <c r="BA211" s="214">
        <f>SUM(BA3:BA209)</f>
        <v>5699999.9999999953</v>
      </c>
      <c r="BB211" s="198">
        <f>SUM(BB3:BB209)</f>
        <v>5606324.0628072517</v>
      </c>
      <c r="BC211" s="214">
        <f>SUM(BC3:BC209)</f>
        <v>5456675</v>
      </c>
      <c r="BD211" s="198">
        <f>SUM(BD3:BD209)</f>
        <v>5289896.8063312229</v>
      </c>
      <c r="BE211" s="214">
        <f>SUM(BE3:BE209)</f>
        <v>5940614.5455545532</v>
      </c>
      <c r="BF211" s="191"/>
      <c r="BG211" s="198">
        <f t="shared" ref="BG211:BM211" si="49">SUM(BG3:BG209)</f>
        <v>4348118</v>
      </c>
      <c r="BH211" s="214">
        <f t="shared" si="49"/>
        <v>4402535</v>
      </c>
      <c r="BI211" s="198">
        <f t="shared" si="49"/>
        <v>4437296.7</v>
      </c>
      <c r="BJ211" s="214">
        <f t="shared" si="49"/>
        <v>4491678.3800000008</v>
      </c>
      <c r="BK211" s="198">
        <f t="shared" si="49"/>
        <v>4482321.42</v>
      </c>
      <c r="BL211" s="49">
        <f t="shared" si="49"/>
        <v>4874743.99</v>
      </c>
      <c r="BM211" s="49">
        <f t="shared" si="49"/>
        <v>5036320.41</v>
      </c>
    </row>
    <row r="212" spans="1:65" ht="18.600000000000001" hidden="1" thickTop="1" x14ac:dyDescent="0.35">
      <c r="J212" s="90"/>
      <c r="K212" s="74">
        <f>COUNTIF(K4:K209, "&gt;0")</f>
        <v>206</v>
      </c>
      <c r="L212" s="74">
        <f>COUNTIF(L4:L209, "&gt;0")</f>
        <v>206</v>
      </c>
      <c r="N212" s="30"/>
      <c r="O212" s="91"/>
      <c r="P212" s="30"/>
      <c r="Q212" s="30"/>
      <c r="R212" s="30"/>
      <c r="S212" s="30"/>
      <c r="T212" s="30"/>
      <c r="U212" s="91"/>
      <c r="V212" s="30"/>
      <c r="W212" s="30"/>
      <c r="X212" s="30"/>
      <c r="Y212" s="74">
        <f>COUNTIF(Y4:Y209, "&gt;0")</f>
        <v>161</v>
      </c>
      <c r="Z212" s="74">
        <f>COUNTIF(Z4:Z209, "&gt;0")</f>
        <v>154</v>
      </c>
      <c r="AA212" s="30"/>
      <c r="AB212" s="168"/>
      <c r="AC212" s="74">
        <f>COUNTIF(AC4:AC209, "&gt;0")</f>
        <v>206</v>
      </c>
      <c r="AD212" s="74">
        <f>COUNTIF(AD4:AD209, "&gt;0")</f>
        <v>206</v>
      </c>
      <c r="AE212" s="74">
        <f>COUNTIF(AE4:AE209, "&gt;0")</f>
        <v>206</v>
      </c>
      <c r="AF212" s="168"/>
      <c r="AG212" s="74">
        <f t="shared" ref="AG212:AP212" si="50">COUNTIF(AG4:AG209, "&gt;0")</f>
        <v>206</v>
      </c>
      <c r="AH212" s="74">
        <f t="shared" si="50"/>
        <v>206</v>
      </c>
      <c r="AI212" s="168"/>
      <c r="AJ212" s="74">
        <f t="shared" si="50"/>
        <v>206</v>
      </c>
      <c r="AK212" s="74">
        <f t="shared" si="50"/>
        <v>206</v>
      </c>
      <c r="AL212" s="168"/>
      <c r="AM212" s="74">
        <f t="shared" si="50"/>
        <v>206</v>
      </c>
      <c r="AN212" s="74">
        <f t="shared" si="50"/>
        <v>206</v>
      </c>
      <c r="AO212" s="74">
        <f t="shared" si="50"/>
        <v>206</v>
      </c>
      <c r="AP212" s="74">
        <f t="shared" si="50"/>
        <v>187</v>
      </c>
      <c r="AQ212" s="74"/>
      <c r="AR212" s="74"/>
      <c r="AS212" s="74"/>
      <c r="AT212" s="168"/>
      <c r="AU212" s="74"/>
      <c r="AV212" s="74"/>
      <c r="AW212" s="75"/>
      <c r="AX212" s="74"/>
      <c r="AY212" s="74"/>
      <c r="AZ212" s="87">
        <f>SUBTOTAL(9,G3:G210)</f>
        <v>5963193.9206064641</v>
      </c>
      <c r="BA212" s="37"/>
      <c r="BB212" s="87">
        <f>SUBTOTAL(9,BB3:BB210)</f>
        <v>5606324.0628072517</v>
      </c>
      <c r="BD212" s="71"/>
      <c r="BE212" s="71"/>
      <c r="BF212" s="168"/>
      <c r="BG212" s="87">
        <v>0</v>
      </c>
      <c r="BH212" s="87">
        <f>SUBTOTAL(9,BH3:BH210)</f>
        <v>4402535</v>
      </c>
      <c r="BI212" s="87">
        <f>SUBTOTAL(9,BI3:BI210)</f>
        <v>4437296.7</v>
      </c>
      <c r="BJ212" s="84"/>
      <c r="BK212" s="50"/>
      <c r="BL212" s="50"/>
      <c r="BM212" s="50"/>
    </row>
    <row r="213" spans="1:65" ht="15" hidden="1" thickTop="1" x14ac:dyDescent="0.3">
      <c r="K213" s="85">
        <f>209-K212</f>
        <v>3</v>
      </c>
      <c r="L213" s="85">
        <f>209-L212</f>
        <v>3</v>
      </c>
      <c r="N213" s="33"/>
      <c r="R213" s="33"/>
      <c r="Y213" s="90"/>
      <c r="AC213" s="32"/>
      <c r="AD213" s="27"/>
      <c r="AE213" s="27"/>
      <c r="AO213" s="34">
        <f>AO212/209</f>
        <v>0.9856459330143541</v>
      </c>
      <c r="AP213" s="34">
        <f>AP212/209</f>
        <v>0.89473684210526316</v>
      </c>
      <c r="AV213" s="27">
        <v>6228523.7624517819</v>
      </c>
      <c r="AZ213" s="45">
        <f>5700*1.05</f>
        <v>5985</v>
      </c>
      <c r="BG213" s="20"/>
      <c r="BH213" s="83"/>
      <c r="BJ213" s="26"/>
    </row>
    <row r="214" spans="1:65" ht="15" hidden="1" thickTop="1" x14ac:dyDescent="0.3">
      <c r="A214" s="29" t="s">
        <v>482</v>
      </c>
      <c r="B214" s="29" t="s">
        <v>190</v>
      </c>
      <c r="C214" s="92" t="s">
        <v>190</v>
      </c>
      <c r="D214" s="28" t="s">
        <v>279</v>
      </c>
      <c r="E214" s="86" t="s">
        <v>281</v>
      </c>
      <c r="F214" s="111"/>
      <c r="G214" s="111"/>
      <c r="H214" s="111"/>
      <c r="I214" s="102">
        <f>12227</f>
        <v>12227</v>
      </c>
      <c r="J214" s="76">
        <v>11811</v>
      </c>
      <c r="K214" s="76">
        <v>11306</v>
      </c>
      <c r="L214" s="76">
        <v>10590</v>
      </c>
      <c r="M214" s="76">
        <v>3724</v>
      </c>
      <c r="N214" s="104">
        <f>12860</f>
        <v>12860</v>
      </c>
      <c r="O214" s="76">
        <v>8468</v>
      </c>
      <c r="P214" s="76">
        <v>7659</v>
      </c>
      <c r="Q214" s="77">
        <v>8396</v>
      </c>
      <c r="R214" s="76">
        <v>6449</v>
      </c>
      <c r="S214" s="47"/>
      <c r="T214" s="105">
        <f>1521</f>
        <v>1521</v>
      </c>
      <c r="U214" s="76">
        <v>1821</v>
      </c>
      <c r="V214" s="76">
        <v>2193</v>
      </c>
      <c r="W214" s="76">
        <v>1319</v>
      </c>
      <c r="X214" s="103">
        <v>791</v>
      </c>
      <c r="Y214" s="76">
        <v>450</v>
      </c>
      <c r="Z214" s="76">
        <v>448</v>
      </c>
      <c r="AA214" s="76">
        <v>450</v>
      </c>
      <c r="AB214" s="47"/>
      <c r="AC214" s="93">
        <f>I214+X214*0.1</f>
        <v>12306.1</v>
      </c>
      <c r="AD214" s="93">
        <f>N214+0.1*T214</f>
        <v>13012.1</v>
      </c>
      <c r="AE214" s="35">
        <f>SUM(AC214*'Factors &amp; Percentages'!$E$27+AD214*'Factors &amp; Percentages'!$E$28)</f>
        <v>1990.9263570242708</v>
      </c>
      <c r="AF214" s="16"/>
      <c r="AG214" s="101">
        <v>0.17</v>
      </c>
      <c r="AH214" s="36">
        <f>AG214*'Factors &amp; Percentages'!$E$31</f>
        <v>2226.973835088434</v>
      </c>
      <c r="AI214" s="18"/>
      <c r="AJ214" s="18">
        <v>2656</v>
      </c>
      <c r="AK214" s="36">
        <f>AJ214*'Factors &amp; Percentages'!$E$34</f>
        <v>5557.3348783995843</v>
      </c>
      <c r="AL214" s="18"/>
      <c r="AM214" s="94">
        <v>20</v>
      </c>
      <c r="AN214" s="97">
        <v>20</v>
      </c>
      <c r="AO214" s="94">
        <v>10</v>
      </c>
      <c r="AP214" s="108">
        <v>10</v>
      </c>
      <c r="AQ214" s="77">
        <v>423</v>
      </c>
      <c r="AR214" s="107">
        <f>+AQ214</f>
        <v>423</v>
      </c>
      <c r="AS214" s="36">
        <f>AN214*'Factors &amp; Percentages'!$E$37+AP214*'Factors &amp; Percentages'!$E$38+AR214*'Factors &amp; Percentages'!$E$39</f>
        <v>2805.3974640434881</v>
      </c>
      <c r="AT214" s="18"/>
      <c r="AU214" s="98">
        <f>AE214+AH214+AK214+AS214</f>
        <v>12580.632534555776</v>
      </c>
      <c r="AV214" s="99">
        <f>IF($N214&gt;($J214+$K214+$I214)/3,$AU214,MIN(AU214,$I214*0.65))</f>
        <v>12580.632534555776</v>
      </c>
      <c r="AW214" s="100">
        <f>IF($BG214&gt;$AV214,$BG214*(1+'Factors &amp; Percentages'!$B$24),
IF($AU214&gt;$AV214,$AV214,
IF($AU214&gt;$BG214,$AU214,
$BG214*(1+'Factors &amp; Percentages'!$B$24))))</f>
        <v>12580.632534555776</v>
      </c>
      <c r="AX214" s="46">
        <f>MIN(AW214,+AG214*2*AY$2)</f>
        <v>12580.632534555776</v>
      </c>
      <c r="AY214" s="69"/>
      <c r="AZ214" s="46">
        <f>+AX214</f>
        <v>12580.632534555776</v>
      </c>
      <c r="BA214" s="21">
        <v>7677.1500000000005</v>
      </c>
      <c r="BB214" s="88">
        <v>7348.9000000000005</v>
      </c>
      <c r="BC214" s="81">
        <v>6884</v>
      </c>
      <c r="BD214" s="82">
        <v>2562.5</v>
      </c>
      <c r="BE214" s="82">
        <v>4753</v>
      </c>
      <c r="BF214" s="69"/>
      <c r="BG214" s="73">
        <v>4200</v>
      </c>
      <c r="BH214" s="96">
        <v>3600</v>
      </c>
      <c r="BI214" s="78">
        <v>3000</v>
      </c>
      <c r="BJ214" s="79">
        <v>2640</v>
      </c>
      <c r="BK214" s="80">
        <v>2500</v>
      </c>
      <c r="BL214" s="80">
        <v>4326</v>
      </c>
      <c r="BM214" s="80">
        <v>4326</v>
      </c>
    </row>
    <row r="215" spans="1:65" ht="15" hidden="1" thickTop="1" x14ac:dyDescent="0.3">
      <c r="A215" s="29" t="s">
        <v>483</v>
      </c>
      <c r="B215" s="29" t="s">
        <v>484</v>
      </c>
      <c r="C215" s="92" t="s">
        <v>278</v>
      </c>
      <c r="D215" s="28" t="s">
        <v>279</v>
      </c>
      <c r="E215" s="86" t="s">
        <v>281</v>
      </c>
      <c r="F215" s="111"/>
      <c r="G215" s="111"/>
      <c r="H215" s="111"/>
      <c r="I215" s="102">
        <f>11604</f>
        <v>11604</v>
      </c>
      <c r="J215" s="76">
        <v>10308</v>
      </c>
      <c r="K215" s="76">
        <v>8632</v>
      </c>
      <c r="L215" s="76">
        <v>8311</v>
      </c>
      <c r="M215" s="76">
        <v>8945</v>
      </c>
      <c r="N215" s="104">
        <f>20061</f>
        <v>20061</v>
      </c>
      <c r="O215" s="76">
        <v>19813</v>
      </c>
      <c r="P215" s="76">
        <v>23409</v>
      </c>
      <c r="Q215" s="77">
        <v>22625</v>
      </c>
      <c r="R215" s="76">
        <v>21689</v>
      </c>
      <c r="S215" s="47"/>
      <c r="T215" s="105">
        <f>17058</f>
        <v>17058</v>
      </c>
      <c r="U215" s="76">
        <v>11867</v>
      </c>
      <c r="V215" s="76">
        <v>12119</v>
      </c>
      <c r="W215" s="76">
        <v>12108</v>
      </c>
      <c r="X215" s="103"/>
      <c r="Y215" s="76">
        <v>82</v>
      </c>
      <c r="Z215" s="76">
        <v>311</v>
      </c>
      <c r="AA215" s="76">
        <v>77</v>
      </c>
      <c r="AB215" s="47"/>
      <c r="AC215" s="93">
        <f>I215+X215*0.1</f>
        <v>11604</v>
      </c>
      <c r="AD215" s="93">
        <f>N215+0.1*T215</f>
        <v>21766.799999999999</v>
      </c>
      <c r="AE215" s="35">
        <f>SUM(AC215*'Factors &amp; Percentages'!$E$27+AD215*'Factors &amp; Percentages'!$E$28)</f>
        <v>2515.372755550723</v>
      </c>
      <c r="AF215" s="16"/>
      <c r="AG215" s="101">
        <v>0.17</v>
      </c>
      <c r="AH215" s="36">
        <f>AG215*'Factors &amp; Percentages'!$E$31</f>
        <v>2226.973835088434</v>
      </c>
      <c r="AI215" s="18"/>
      <c r="AJ215" s="18">
        <v>2656</v>
      </c>
      <c r="AK215" s="36">
        <f>AJ215*'Factors &amp; Percentages'!$E$34</f>
        <v>5557.3348783995843</v>
      </c>
      <c r="AL215" s="18"/>
      <c r="AM215" s="95">
        <v>21</v>
      </c>
      <c r="AN215" s="97">
        <v>21</v>
      </c>
      <c r="AO215" s="95">
        <v>22</v>
      </c>
      <c r="AP215" s="108">
        <v>22</v>
      </c>
      <c r="AQ215" s="77">
        <v>613</v>
      </c>
      <c r="AR215" s="107">
        <f>+AQ215</f>
        <v>613</v>
      </c>
      <c r="AS215" s="36">
        <f>AN215*'Factors &amp; Percentages'!$E$37+AP215*'Factors &amp; Percentages'!$E$38+AR215*'Factors &amp; Percentages'!$E$39</f>
        <v>3249.8060659483108</v>
      </c>
      <c r="AT215" s="18"/>
      <c r="AU215" s="98">
        <f>AE215+AH215+AK215+AS215</f>
        <v>13549.487534987053</v>
      </c>
      <c r="AV215" s="99">
        <f>IF($N215&gt;($J215+$K215+$I215)/3,$AU215,MIN(AU215,$I215*0.65))</f>
        <v>13549.487534987053</v>
      </c>
      <c r="AW215" s="100">
        <f>IF($BG215&gt;$AV215,$BG215*(1+'Factors &amp; Percentages'!$B$24),
IF($AU215&gt;$AV215,$AV215,
IF($AU215&gt;$BG215,$AU215,
$BG215*(1+'Factors &amp; Percentages'!$B$24))))</f>
        <v>13549.487534987053</v>
      </c>
      <c r="AX215" s="46">
        <f>MIN(AW215,+AG215*2*AY$2)</f>
        <v>13549.487534987053</v>
      </c>
      <c r="AY215" s="69"/>
      <c r="AZ215" s="46">
        <f>+AX215</f>
        <v>13549.487534987053</v>
      </c>
      <c r="BA215" s="21">
        <v>12274.116746646607</v>
      </c>
      <c r="BB215" s="46">
        <v>14512</v>
      </c>
      <c r="BC215" s="81">
        <v>5402</v>
      </c>
      <c r="BD215" s="82">
        <v>5814.25</v>
      </c>
      <c r="BE215" s="82">
        <v>4491.8</v>
      </c>
      <c r="BF215" s="69"/>
      <c r="BG215" s="73">
        <v>6000</v>
      </c>
      <c r="BH215" s="96">
        <v>4500</v>
      </c>
      <c r="BI215" s="78">
        <v>4500</v>
      </c>
      <c r="BJ215" s="79">
        <v>4500</v>
      </c>
      <c r="BK215" s="80">
        <v>3000</v>
      </c>
      <c r="BL215" s="80">
        <v>1000</v>
      </c>
      <c r="BM215" s="80">
        <v>1000</v>
      </c>
    </row>
    <row r="216" spans="1:65" ht="15" thickTop="1" x14ac:dyDescent="0.3"/>
  </sheetData>
  <autoFilter ref="A2:BM209" xr:uid="{E71D55C3-2978-484F-80DA-C292DE51F7AA}"/>
  <mergeCells count="8">
    <mergeCell ref="BG1:BK1"/>
    <mergeCell ref="BA1:BE1"/>
    <mergeCell ref="I1:Z1"/>
    <mergeCell ref="AC1:AE1"/>
    <mergeCell ref="AG1:AH1"/>
    <mergeCell ref="AJ1:AK1"/>
    <mergeCell ref="AM1:AS1"/>
    <mergeCell ref="AU1:AX1"/>
  </mergeCells>
  <phoneticPr fontId="17" type="noConversion"/>
  <conditionalFormatting sqref="A46:B46 A2:B2 A210:B210">
    <cfRule type="duplicateValues" dxfId="3" priority="174"/>
  </conditionalFormatting>
  <conditionalFormatting sqref="C167">
    <cfRule type="duplicateValues" dxfId="2" priority="10"/>
    <cfRule type="duplicateValues" dxfId="1" priority="11"/>
  </conditionalFormatting>
  <conditionalFormatting sqref="F212:I213 A46:B46 A2:B2 A210:B210 H210:I210 F214:H215 H211 F2:F211 H2:H209">
    <cfRule type="duplicateValues" dxfId="0" priority="172"/>
  </conditionalFormatting>
  <pageMargins left="0.7" right="0.7" top="0.75" bottom="0.75" header="0.3" footer="0.3"/>
  <pageSetup paperSize="8" scale="2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Factors &amp; Percentages</vt:lpstr>
      <vt:lpstr>Diocese Sheet</vt:lpstr>
      <vt:lpstr>'Diocese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Bruce</dc:creator>
  <cp:lastModifiedBy>Gary Taylor</cp:lastModifiedBy>
  <cp:lastPrinted>2025-09-01T13:03:26Z</cp:lastPrinted>
  <dcterms:created xsi:type="dcterms:W3CDTF">2020-12-21T11:10:20Z</dcterms:created>
  <dcterms:modified xsi:type="dcterms:W3CDTF">2025-09-09T13:57:39Z</dcterms:modified>
</cp:coreProperties>
</file>