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Guided Pledge\2027\"/>
    </mc:Choice>
  </mc:AlternateContent>
  <xr:revisionPtr revIDLastSave="0" documentId="8_{1A71F366-201B-43F0-942C-8DC0B40131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ocese Sheet" sheetId="5" r:id="rId1"/>
    <sheet name="Factors &amp; Percentages" sheetId="4" r:id="rId2"/>
  </sheets>
  <definedNames>
    <definedName name="_xlnm._FilterDatabase" localSheetId="0" hidden="1">'Diocese Sheet'!$D$1:$F$209</definedName>
    <definedName name="_xlnm.Print_Area" localSheetId="0">'Diocese Sheet'!$D$1:$AL$209</definedName>
    <definedName name="_xlnm.Print_Area" localSheetId="1">'Factors &amp; Percentages'!$A$1:$F$19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1" i="5" l="1"/>
  <c r="U2" i="5" l="1"/>
  <c r="V2" i="5"/>
  <c r="W2" i="5" s="1"/>
  <c r="Y2" i="5"/>
  <c r="AA2" i="5"/>
  <c r="AE2" i="5"/>
  <c r="U3" i="5"/>
  <c r="V3" i="5"/>
  <c r="Y3" i="5"/>
  <c r="AA3" i="5"/>
  <c r="AE3" i="5"/>
  <c r="U4" i="5"/>
  <c r="W4" i="5" s="1"/>
  <c r="V4" i="5"/>
  <c r="Y4" i="5"/>
  <c r="AA4" i="5"/>
  <c r="AE4" i="5"/>
  <c r="U5" i="5"/>
  <c r="V5" i="5"/>
  <c r="Y5" i="5"/>
  <c r="AA5" i="5"/>
  <c r="AE5" i="5"/>
  <c r="U6" i="5"/>
  <c r="V6" i="5"/>
  <c r="Y6" i="5"/>
  <c r="AA6" i="5"/>
  <c r="AE6" i="5"/>
  <c r="U7" i="5"/>
  <c r="V7" i="5"/>
  <c r="Y7" i="5"/>
  <c r="AA7" i="5"/>
  <c r="AE7" i="5"/>
  <c r="U8" i="5"/>
  <c r="V8" i="5"/>
  <c r="Y8" i="5"/>
  <c r="AA8" i="5"/>
  <c r="AE8" i="5"/>
  <c r="U9" i="5"/>
  <c r="V9" i="5"/>
  <c r="Y9" i="5"/>
  <c r="AA9" i="5"/>
  <c r="AE9" i="5"/>
  <c r="U10" i="5"/>
  <c r="V10" i="5"/>
  <c r="Y10" i="5"/>
  <c r="AA10" i="5"/>
  <c r="AE10" i="5"/>
  <c r="U11" i="5"/>
  <c r="V11" i="5"/>
  <c r="Y11" i="5"/>
  <c r="AA11" i="5"/>
  <c r="AE11" i="5"/>
  <c r="U12" i="5"/>
  <c r="V12" i="5"/>
  <c r="Y12" i="5"/>
  <c r="AA12" i="5"/>
  <c r="AE12" i="5"/>
  <c r="U13" i="5"/>
  <c r="V13" i="5"/>
  <c r="Y13" i="5"/>
  <c r="AA13" i="5"/>
  <c r="AE13" i="5"/>
  <c r="U14" i="5"/>
  <c r="V14" i="5"/>
  <c r="Y14" i="5"/>
  <c r="AA14" i="5"/>
  <c r="AE14" i="5"/>
  <c r="U15" i="5"/>
  <c r="V15" i="5"/>
  <c r="Y15" i="5"/>
  <c r="AA15" i="5"/>
  <c r="AE15" i="5"/>
  <c r="U16" i="5"/>
  <c r="V16" i="5"/>
  <c r="Y16" i="5"/>
  <c r="AA16" i="5"/>
  <c r="AE16" i="5"/>
  <c r="U17" i="5"/>
  <c r="V17" i="5"/>
  <c r="Y17" i="5"/>
  <c r="AA17" i="5"/>
  <c r="AE17" i="5"/>
  <c r="U18" i="5"/>
  <c r="V18" i="5"/>
  <c r="Y18" i="5"/>
  <c r="AA18" i="5"/>
  <c r="AE18" i="5"/>
  <c r="U19" i="5"/>
  <c r="V19" i="5"/>
  <c r="Y19" i="5"/>
  <c r="AA19" i="5"/>
  <c r="AE19" i="5"/>
  <c r="U20" i="5"/>
  <c r="V20" i="5"/>
  <c r="Y20" i="5"/>
  <c r="AA20" i="5"/>
  <c r="AE20" i="5"/>
  <c r="U21" i="5"/>
  <c r="V21" i="5"/>
  <c r="Y21" i="5"/>
  <c r="AA21" i="5"/>
  <c r="AE21" i="5"/>
  <c r="U22" i="5"/>
  <c r="V22" i="5"/>
  <c r="Y22" i="5"/>
  <c r="AA22" i="5"/>
  <c r="AE22" i="5"/>
  <c r="U23" i="5"/>
  <c r="V23" i="5"/>
  <c r="Y23" i="5"/>
  <c r="AA23" i="5"/>
  <c r="AE23" i="5"/>
  <c r="U24" i="5"/>
  <c r="V24" i="5"/>
  <c r="W24" i="5" s="1"/>
  <c r="Y24" i="5"/>
  <c r="AA24" i="5"/>
  <c r="AE24" i="5"/>
  <c r="U25" i="5"/>
  <c r="V25" i="5"/>
  <c r="Y25" i="5"/>
  <c r="AA25" i="5"/>
  <c r="AE25" i="5"/>
  <c r="U26" i="5"/>
  <c r="V26" i="5"/>
  <c r="Y26" i="5"/>
  <c r="AA26" i="5"/>
  <c r="AE26" i="5"/>
  <c r="U27" i="5"/>
  <c r="V27" i="5"/>
  <c r="Y27" i="5"/>
  <c r="AA27" i="5"/>
  <c r="AE27" i="5"/>
  <c r="U28" i="5"/>
  <c r="V28" i="5"/>
  <c r="W28" i="5"/>
  <c r="Y28" i="5"/>
  <c r="AA28" i="5"/>
  <c r="AE28" i="5"/>
  <c r="U29" i="5"/>
  <c r="W29" i="5" s="1"/>
  <c r="V29" i="5"/>
  <c r="Y29" i="5"/>
  <c r="AA29" i="5"/>
  <c r="AE29" i="5"/>
  <c r="U30" i="5"/>
  <c r="V30" i="5"/>
  <c r="Y30" i="5"/>
  <c r="AA30" i="5"/>
  <c r="AE30" i="5"/>
  <c r="U31" i="5"/>
  <c r="V31" i="5"/>
  <c r="Y31" i="5"/>
  <c r="AA31" i="5"/>
  <c r="AE31" i="5"/>
  <c r="U32" i="5"/>
  <c r="V32" i="5"/>
  <c r="Y32" i="5"/>
  <c r="AA32" i="5"/>
  <c r="AE32" i="5"/>
  <c r="U33" i="5"/>
  <c r="V33" i="5"/>
  <c r="Y33" i="5"/>
  <c r="AA33" i="5"/>
  <c r="AE33" i="5"/>
  <c r="U34" i="5"/>
  <c r="V34" i="5"/>
  <c r="Y34" i="5"/>
  <c r="AA34" i="5"/>
  <c r="AE34" i="5"/>
  <c r="U35" i="5"/>
  <c r="V35" i="5"/>
  <c r="Y35" i="5"/>
  <c r="AA35" i="5"/>
  <c r="AE35" i="5"/>
  <c r="U36" i="5"/>
  <c r="V36" i="5"/>
  <c r="Y36" i="5"/>
  <c r="AA36" i="5"/>
  <c r="AE36" i="5"/>
  <c r="U37" i="5"/>
  <c r="V37" i="5"/>
  <c r="Y37" i="5"/>
  <c r="AA37" i="5"/>
  <c r="AE37" i="5"/>
  <c r="U38" i="5"/>
  <c r="V38" i="5"/>
  <c r="Y38" i="5"/>
  <c r="AA38" i="5"/>
  <c r="AE38" i="5"/>
  <c r="U39" i="5"/>
  <c r="V39" i="5"/>
  <c r="Y39" i="5"/>
  <c r="AA39" i="5"/>
  <c r="AE39" i="5"/>
  <c r="U40" i="5"/>
  <c r="V40" i="5"/>
  <c r="Y40" i="5"/>
  <c r="AA40" i="5"/>
  <c r="AE40" i="5"/>
  <c r="U41" i="5"/>
  <c r="V41" i="5"/>
  <c r="Y41" i="5"/>
  <c r="AA41" i="5"/>
  <c r="AE41" i="5"/>
  <c r="U42" i="5"/>
  <c r="V42" i="5"/>
  <c r="Y42" i="5"/>
  <c r="AA42" i="5"/>
  <c r="AE42" i="5"/>
  <c r="U43" i="5"/>
  <c r="V43" i="5"/>
  <c r="Y43" i="5"/>
  <c r="AA43" i="5"/>
  <c r="AE43" i="5"/>
  <c r="U44" i="5"/>
  <c r="W44" i="5" s="1"/>
  <c r="V44" i="5"/>
  <c r="Y44" i="5"/>
  <c r="AA44" i="5"/>
  <c r="AE44" i="5"/>
  <c r="U45" i="5"/>
  <c r="V45" i="5"/>
  <c r="Y45" i="5"/>
  <c r="AA45" i="5"/>
  <c r="AE45" i="5"/>
  <c r="U46" i="5"/>
  <c r="V46" i="5"/>
  <c r="Y46" i="5"/>
  <c r="AA46" i="5"/>
  <c r="AE46" i="5"/>
  <c r="U47" i="5"/>
  <c r="V47" i="5"/>
  <c r="Y47" i="5"/>
  <c r="AA47" i="5"/>
  <c r="AE47" i="5"/>
  <c r="U48" i="5"/>
  <c r="V48" i="5"/>
  <c r="Y48" i="5"/>
  <c r="AA48" i="5"/>
  <c r="AE48" i="5"/>
  <c r="U49" i="5"/>
  <c r="V49" i="5"/>
  <c r="Y49" i="5"/>
  <c r="AA49" i="5"/>
  <c r="AE49" i="5"/>
  <c r="U50" i="5"/>
  <c r="V50" i="5"/>
  <c r="Y50" i="5"/>
  <c r="AA50" i="5"/>
  <c r="AE50" i="5"/>
  <c r="U51" i="5"/>
  <c r="V51" i="5"/>
  <c r="Y51" i="5"/>
  <c r="AA51" i="5"/>
  <c r="AE51" i="5"/>
  <c r="U52" i="5"/>
  <c r="V52" i="5"/>
  <c r="Y52" i="5"/>
  <c r="AA52" i="5"/>
  <c r="AE52" i="5"/>
  <c r="U53" i="5"/>
  <c r="V53" i="5"/>
  <c r="Y53" i="5"/>
  <c r="AA53" i="5"/>
  <c r="AE53" i="5"/>
  <c r="U54" i="5"/>
  <c r="V54" i="5"/>
  <c r="Y54" i="5"/>
  <c r="AA54" i="5"/>
  <c r="AE54" i="5"/>
  <c r="U55" i="5"/>
  <c r="V55" i="5"/>
  <c r="Y55" i="5"/>
  <c r="AA55" i="5"/>
  <c r="AE55" i="5"/>
  <c r="U56" i="5"/>
  <c r="V56" i="5"/>
  <c r="Y56" i="5"/>
  <c r="AA56" i="5"/>
  <c r="AE56" i="5"/>
  <c r="U57" i="5"/>
  <c r="V57" i="5"/>
  <c r="Y57" i="5"/>
  <c r="AA57" i="5"/>
  <c r="AE57" i="5"/>
  <c r="U58" i="5"/>
  <c r="V58" i="5"/>
  <c r="Y58" i="5"/>
  <c r="AA58" i="5"/>
  <c r="AE58" i="5"/>
  <c r="U59" i="5"/>
  <c r="V59" i="5"/>
  <c r="Y59" i="5"/>
  <c r="AA59" i="5"/>
  <c r="AE59" i="5"/>
  <c r="U60" i="5"/>
  <c r="V60" i="5"/>
  <c r="Y60" i="5"/>
  <c r="AA60" i="5"/>
  <c r="AE60" i="5"/>
  <c r="U61" i="5"/>
  <c r="V61" i="5"/>
  <c r="Y61" i="5"/>
  <c r="AA61" i="5"/>
  <c r="AE61" i="5"/>
  <c r="U62" i="5"/>
  <c r="V62" i="5"/>
  <c r="Y62" i="5"/>
  <c r="AA62" i="5"/>
  <c r="AE62" i="5"/>
  <c r="U63" i="5"/>
  <c r="V63" i="5"/>
  <c r="Y63" i="5"/>
  <c r="AA63" i="5"/>
  <c r="AE63" i="5"/>
  <c r="U64" i="5"/>
  <c r="V64" i="5"/>
  <c r="Y64" i="5"/>
  <c r="AA64" i="5"/>
  <c r="AE64" i="5"/>
  <c r="U65" i="5"/>
  <c r="V65" i="5"/>
  <c r="Y65" i="5"/>
  <c r="AA65" i="5"/>
  <c r="AE65" i="5"/>
  <c r="U66" i="5"/>
  <c r="V66" i="5"/>
  <c r="Y66" i="5"/>
  <c r="AA66" i="5"/>
  <c r="AE66" i="5"/>
  <c r="O67" i="5"/>
  <c r="V67" i="5" s="1"/>
  <c r="R67" i="5"/>
  <c r="U67" i="5"/>
  <c r="Y67" i="5"/>
  <c r="AA67" i="5"/>
  <c r="AE67" i="5"/>
  <c r="U68" i="5"/>
  <c r="V68" i="5"/>
  <c r="Y68" i="5"/>
  <c r="AA68" i="5"/>
  <c r="AE68" i="5"/>
  <c r="U69" i="5"/>
  <c r="V69" i="5"/>
  <c r="Y69" i="5"/>
  <c r="AA69" i="5"/>
  <c r="AE69" i="5"/>
  <c r="U70" i="5"/>
  <c r="V70" i="5"/>
  <c r="Y70" i="5"/>
  <c r="AA70" i="5"/>
  <c r="AE70" i="5"/>
  <c r="U71" i="5"/>
  <c r="V71" i="5"/>
  <c r="Y71" i="5"/>
  <c r="AA71" i="5"/>
  <c r="AE71" i="5"/>
  <c r="R72" i="5"/>
  <c r="U72" i="5" s="1"/>
  <c r="V72" i="5"/>
  <c r="Y72" i="5"/>
  <c r="AA72" i="5"/>
  <c r="AE72" i="5"/>
  <c r="U73" i="5"/>
  <c r="V73" i="5"/>
  <c r="Y73" i="5"/>
  <c r="AA73" i="5"/>
  <c r="AE73" i="5"/>
  <c r="U74" i="5"/>
  <c r="V74" i="5"/>
  <c r="Y74" i="5"/>
  <c r="AA74" i="5"/>
  <c r="AE74" i="5"/>
  <c r="U75" i="5"/>
  <c r="V75" i="5"/>
  <c r="Y75" i="5"/>
  <c r="AA75" i="5"/>
  <c r="AE75" i="5"/>
  <c r="U76" i="5"/>
  <c r="V76" i="5"/>
  <c r="Y76" i="5"/>
  <c r="AA76" i="5"/>
  <c r="AE76" i="5"/>
  <c r="U77" i="5"/>
  <c r="V77" i="5"/>
  <c r="Y77" i="5"/>
  <c r="AA77" i="5"/>
  <c r="AE77" i="5"/>
  <c r="U78" i="5"/>
  <c r="V78" i="5"/>
  <c r="Y78" i="5"/>
  <c r="AA78" i="5"/>
  <c r="AE78" i="5"/>
  <c r="U79" i="5"/>
  <c r="W79" i="5" s="1"/>
  <c r="V79" i="5"/>
  <c r="Y79" i="5"/>
  <c r="AA79" i="5"/>
  <c r="AE79" i="5"/>
  <c r="U80" i="5"/>
  <c r="V80" i="5"/>
  <c r="Y80" i="5"/>
  <c r="AA80" i="5"/>
  <c r="AE80" i="5"/>
  <c r="U81" i="5"/>
  <c r="V81" i="5"/>
  <c r="Y81" i="5"/>
  <c r="AA81" i="5"/>
  <c r="AE81" i="5"/>
  <c r="U82" i="5"/>
  <c r="V82" i="5"/>
  <c r="Y82" i="5"/>
  <c r="AA82" i="5"/>
  <c r="AE82" i="5"/>
  <c r="U83" i="5"/>
  <c r="V83" i="5"/>
  <c r="Y83" i="5"/>
  <c r="AA83" i="5"/>
  <c r="AE83" i="5"/>
  <c r="U84" i="5"/>
  <c r="V84" i="5"/>
  <c r="Y84" i="5"/>
  <c r="AA84" i="5"/>
  <c r="AE84" i="5"/>
  <c r="U85" i="5"/>
  <c r="V85" i="5"/>
  <c r="Y85" i="5"/>
  <c r="AA85" i="5"/>
  <c r="AE85" i="5"/>
  <c r="U86" i="5"/>
  <c r="V86" i="5"/>
  <c r="Y86" i="5"/>
  <c r="AA86" i="5"/>
  <c r="AE86" i="5"/>
  <c r="U87" i="5"/>
  <c r="V87" i="5"/>
  <c r="Y87" i="5"/>
  <c r="AA87" i="5"/>
  <c r="AE87" i="5"/>
  <c r="U88" i="5"/>
  <c r="V88" i="5"/>
  <c r="W88" i="5"/>
  <c r="Y88" i="5"/>
  <c r="AA88" i="5"/>
  <c r="AE88" i="5"/>
  <c r="U89" i="5"/>
  <c r="V89" i="5"/>
  <c r="W89" i="5" s="1"/>
  <c r="Y89" i="5"/>
  <c r="AA89" i="5"/>
  <c r="AE89" i="5"/>
  <c r="U90" i="5"/>
  <c r="V90" i="5"/>
  <c r="Y90" i="5"/>
  <c r="AA90" i="5"/>
  <c r="AE90" i="5"/>
  <c r="U91" i="5"/>
  <c r="V91" i="5"/>
  <c r="Y91" i="5"/>
  <c r="AA91" i="5"/>
  <c r="AE91" i="5"/>
  <c r="U92" i="5"/>
  <c r="V92" i="5"/>
  <c r="Y92" i="5"/>
  <c r="AA92" i="5"/>
  <c r="AE92" i="5"/>
  <c r="U93" i="5"/>
  <c r="V93" i="5"/>
  <c r="Y93" i="5"/>
  <c r="AA93" i="5"/>
  <c r="AE93" i="5"/>
  <c r="O94" i="5"/>
  <c r="V94" i="5" s="1"/>
  <c r="U94" i="5"/>
  <c r="Y94" i="5"/>
  <c r="AA94" i="5"/>
  <c r="AE94" i="5"/>
  <c r="U95" i="5"/>
  <c r="V95" i="5"/>
  <c r="Y95" i="5"/>
  <c r="AA95" i="5"/>
  <c r="AE95" i="5"/>
  <c r="U96" i="5"/>
  <c r="V96" i="5"/>
  <c r="Y96" i="5"/>
  <c r="AA96" i="5"/>
  <c r="AE96" i="5"/>
  <c r="U97" i="5"/>
  <c r="V97" i="5"/>
  <c r="Y97" i="5"/>
  <c r="AA97" i="5"/>
  <c r="AE97" i="5"/>
  <c r="U98" i="5"/>
  <c r="V98" i="5"/>
  <c r="Y98" i="5"/>
  <c r="AA98" i="5"/>
  <c r="AE98" i="5"/>
  <c r="U99" i="5"/>
  <c r="V99" i="5"/>
  <c r="Y99" i="5"/>
  <c r="AA99" i="5"/>
  <c r="AE99" i="5"/>
  <c r="U100" i="5"/>
  <c r="V100" i="5"/>
  <c r="Y100" i="5"/>
  <c r="AA100" i="5"/>
  <c r="AE100" i="5"/>
  <c r="U101" i="5"/>
  <c r="V101" i="5"/>
  <c r="Y101" i="5"/>
  <c r="AA101" i="5"/>
  <c r="AE101" i="5"/>
  <c r="U102" i="5"/>
  <c r="V102" i="5"/>
  <c r="Y102" i="5"/>
  <c r="AA102" i="5"/>
  <c r="AE102" i="5"/>
  <c r="U103" i="5"/>
  <c r="W103" i="5" s="1"/>
  <c r="V103" i="5"/>
  <c r="Y103" i="5"/>
  <c r="AA103" i="5"/>
  <c r="AE103" i="5"/>
  <c r="U104" i="5"/>
  <c r="V104" i="5"/>
  <c r="Y104" i="5"/>
  <c r="AA104" i="5"/>
  <c r="AE104" i="5"/>
  <c r="U105" i="5"/>
  <c r="V105" i="5"/>
  <c r="Y105" i="5"/>
  <c r="AA105" i="5"/>
  <c r="AE105" i="5"/>
  <c r="U106" i="5"/>
  <c r="V106" i="5"/>
  <c r="Y106" i="5"/>
  <c r="AA106" i="5"/>
  <c r="AE106" i="5"/>
  <c r="U107" i="5"/>
  <c r="V107" i="5"/>
  <c r="Y107" i="5"/>
  <c r="AA107" i="5"/>
  <c r="AE107" i="5"/>
  <c r="U108" i="5"/>
  <c r="V108" i="5"/>
  <c r="Y108" i="5"/>
  <c r="AA108" i="5"/>
  <c r="AE108" i="5"/>
  <c r="U109" i="5"/>
  <c r="V109" i="5"/>
  <c r="Y109" i="5"/>
  <c r="AA109" i="5"/>
  <c r="AE109" i="5"/>
  <c r="U110" i="5"/>
  <c r="V110" i="5"/>
  <c r="Y110" i="5"/>
  <c r="AA110" i="5"/>
  <c r="AE110" i="5"/>
  <c r="U111" i="5"/>
  <c r="V111" i="5"/>
  <c r="Y111" i="5"/>
  <c r="AA111" i="5"/>
  <c r="AE111" i="5"/>
  <c r="U112" i="5"/>
  <c r="V112" i="5"/>
  <c r="Y112" i="5"/>
  <c r="AA112" i="5"/>
  <c r="AE112" i="5"/>
  <c r="U113" i="5"/>
  <c r="V113" i="5"/>
  <c r="Y113" i="5"/>
  <c r="AA113" i="5"/>
  <c r="AE113" i="5"/>
  <c r="U114" i="5"/>
  <c r="V114" i="5"/>
  <c r="Y114" i="5"/>
  <c r="AA114" i="5"/>
  <c r="AE114" i="5"/>
  <c r="U115" i="5"/>
  <c r="V115" i="5"/>
  <c r="Y115" i="5"/>
  <c r="AA115" i="5"/>
  <c r="AE115" i="5"/>
  <c r="U116" i="5"/>
  <c r="V116" i="5"/>
  <c r="Y116" i="5"/>
  <c r="AA116" i="5"/>
  <c r="AE116" i="5"/>
  <c r="U117" i="5"/>
  <c r="V117" i="5"/>
  <c r="Y117" i="5"/>
  <c r="AA117" i="5"/>
  <c r="AE117" i="5"/>
  <c r="U118" i="5"/>
  <c r="V118" i="5"/>
  <c r="Y118" i="5"/>
  <c r="AA118" i="5"/>
  <c r="AE118" i="5"/>
  <c r="U119" i="5"/>
  <c r="V119" i="5"/>
  <c r="Y119" i="5"/>
  <c r="AA119" i="5"/>
  <c r="AE119" i="5"/>
  <c r="U120" i="5"/>
  <c r="V120" i="5"/>
  <c r="W120" i="5"/>
  <c r="Y120" i="5"/>
  <c r="AA120" i="5"/>
  <c r="AE120" i="5"/>
  <c r="U121" i="5"/>
  <c r="V121" i="5"/>
  <c r="Y121" i="5"/>
  <c r="AA121" i="5"/>
  <c r="AE121" i="5"/>
  <c r="U122" i="5"/>
  <c r="V122" i="5"/>
  <c r="Y122" i="5"/>
  <c r="AA122" i="5"/>
  <c r="AE122" i="5"/>
  <c r="U123" i="5"/>
  <c r="V123" i="5"/>
  <c r="Y123" i="5"/>
  <c r="AA123" i="5"/>
  <c r="AE123" i="5"/>
  <c r="U124" i="5"/>
  <c r="V124" i="5"/>
  <c r="Y124" i="5"/>
  <c r="AA124" i="5"/>
  <c r="AE124" i="5"/>
  <c r="U125" i="5"/>
  <c r="V125" i="5"/>
  <c r="Y125" i="5"/>
  <c r="AA125" i="5"/>
  <c r="AE125" i="5"/>
  <c r="U126" i="5"/>
  <c r="V126" i="5"/>
  <c r="Y126" i="5"/>
  <c r="AA126" i="5"/>
  <c r="AE126" i="5"/>
  <c r="U127" i="5"/>
  <c r="V127" i="5"/>
  <c r="Y127" i="5"/>
  <c r="AA127" i="5"/>
  <c r="AE127" i="5"/>
  <c r="U128" i="5"/>
  <c r="V128" i="5"/>
  <c r="W128" i="5" s="1"/>
  <c r="Y128" i="5"/>
  <c r="AA128" i="5"/>
  <c r="AE128" i="5"/>
  <c r="U129" i="5"/>
  <c r="V129" i="5"/>
  <c r="Y129" i="5"/>
  <c r="AA129" i="5"/>
  <c r="AE129" i="5"/>
  <c r="U130" i="5"/>
  <c r="V130" i="5"/>
  <c r="Y130" i="5"/>
  <c r="AA130" i="5"/>
  <c r="AE130" i="5"/>
  <c r="U131" i="5"/>
  <c r="V131" i="5"/>
  <c r="Y131" i="5"/>
  <c r="AA131" i="5"/>
  <c r="AE131" i="5"/>
  <c r="U132" i="5"/>
  <c r="W132" i="5" s="1"/>
  <c r="V132" i="5"/>
  <c r="Y132" i="5"/>
  <c r="AA132" i="5"/>
  <c r="AE132" i="5"/>
  <c r="U133" i="5"/>
  <c r="V133" i="5"/>
  <c r="Y133" i="5"/>
  <c r="AA133" i="5"/>
  <c r="AE133" i="5"/>
  <c r="U134" i="5"/>
  <c r="V134" i="5"/>
  <c r="Y134" i="5"/>
  <c r="AA134" i="5"/>
  <c r="AE134" i="5"/>
  <c r="U135" i="5"/>
  <c r="V135" i="5"/>
  <c r="Y135" i="5"/>
  <c r="AA135" i="5"/>
  <c r="AE135" i="5"/>
  <c r="U136" i="5"/>
  <c r="V136" i="5"/>
  <c r="Y136" i="5"/>
  <c r="AA136" i="5"/>
  <c r="AE136" i="5"/>
  <c r="U137" i="5"/>
  <c r="V137" i="5"/>
  <c r="Y137" i="5"/>
  <c r="AA137" i="5"/>
  <c r="AE137" i="5"/>
  <c r="AI138" i="5"/>
  <c r="AJ138" i="5" s="1"/>
  <c r="U139" i="5"/>
  <c r="V139" i="5"/>
  <c r="Y139" i="5"/>
  <c r="AA139" i="5"/>
  <c r="AE139" i="5"/>
  <c r="U140" i="5"/>
  <c r="V140" i="5"/>
  <c r="Y140" i="5"/>
  <c r="AA140" i="5"/>
  <c r="AE140" i="5"/>
  <c r="U141" i="5"/>
  <c r="V141" i="5"/>
  <c r="W141" i="5"/>
  <c r="Y141" i="5"/>
  <c r="AA141" i="5"/>
  <c r="AE141" i="5"/>
  <c r="U142" i="5"/>
  <c r="V142" i="5"/>
  <c r="Y142" i="5"/>
  <c r="AA142" i="5"/>
  <c r="AE142" i="5"/>
  <c r="U143" i="5"/>
  <c r="V143" i="5"/>
  <c r="Y143" i="5"/>
  <c r="AA143" i="5"/>
  <c r="AE143" i="5"/>
  <c r="U144" i="5"/>
  <c r="V144" i="5"/>
  <c r="Y144" i="5"/>
  <c r="AA144" i="5"/>
  <c r="AE144" i="5"/>
  <c r="U145" i="5"/>
  <c r="V145" i="5"/>
  <c r="Y145" i="5"/>
  <c r="AA145" i="5"/>
  <c r="AE145" i="5"/>
  <c r="U146" i="5"/>
  <c r="V146" i="5"/>
  <c r="Y146" i="5"/>
  <c r="AA146" i="5"/>
  <c r="AE146" i="5"/>
  <c r="U147" i="5"/>
  <c r="V147" i="5"/>
  <c r="Y147" i="5"/>
  <c r="AA147" i="5"/>
  <c r="AE147" i="5"/>
  <c r="U148" i="5"/>
  <c r="V148" i="5"/>
  <c r="Y148" i="5"/>
  <c r="AA148" i="5"/>
  <c r="AE148" i="5"/>
  <c r="U149" i="5"/>
  <c r="V149" i="5"/>
  <c r="W149" i="5"/>
  <c r="Y149" i="5"/>
  <c r="AA149" i="5"/>
  <c r="AE149" i="5"/>
  <c r="U150" i="5"/>
  <c r="V150" i="5"/>
  <c r="Y150" i="5"/>
  <c r="AA150" i="5"/>
  <c r="AE150" i="5"/>
  <c r="O151" i="5"/>
  <c r="V151" i="5" s="1"/>
  <c r="U151" i="5"/>
  <c r="Y151" i="5"/>
  <c r="AA151" i="5"/>
  <c r="AE151" i="5"/>
  <c r="U152" i="5"/>
  <c r="V152" i="5"/>
  <c r="Y152" i="5"/>
  <c r="AA152" i="5"/>
  <c r="AE152" i="5"/>
  <c r="U153" i="5"/>
  <c r="V153" i="5"/>
  <c r="Y153" i="5"/>
  <c r="AA153" i="5"/>
  <c r="AE153" i="5"/>
  <c r="U154" i="5"/>
  <c r="V154" i="5"/>
  <c r="Y154" i="5"/>
  <c r="Z154" i="5"/>
  <c r="AA154" i="5" s="1"/>
  <c r="AE154" i="5"/>
  <c r="U155" i="5"/>
  <c r="V155" i="5"/>
  <c r="Y155" i="5"/>
  <c r="AA155" i="5"/>
  <c r="AE155" i="5"/>
  <c r="U156" i="5"/>
  <c r="V156" i="5"/>
  <c r="Y156" i="5"/>
  <c r="AA156" i="5"/>
  <c r="AE156" i="5"/>
  <c r="U157" i="5"/>
  <c r="V157" i="5"/>
  <c r="Y157" i="5"/>
  <c r="AA157" i="5"/>
  <c r="AE157" i="5"/>
  <c r="U158" i="5"/>
  <c r="V158" i="5"/>
  <c r="Y158" i="5"/>
  <c r="AA158" i="5"/>
  <c r="AE158" i="5"/>
  <c r="U159" i="5"/>
  <c r="V159" i="5"/>
  <c r="Y159" i="5"/>
  <c r="AA159" i="5"/>
  <c r="AE159" i="5"/>
  <c r="U160" i="5"/>
  <c r="V160" i="5"/>
  <c r="Y160" i="5"/>
  <c r="AA160" i="5"/>
  <c r="AE160" i="5"/>
  <c r="U161" i="5"/>
  <c r="V161" i="5"/>
  <c r="Y161" i="5"/>
  <c r="AA161" i="5"/>
  <c r="AE161" i="5"/>
  <c r="U162" i="5"/>
  <c r="V162" i="5"/>
  <c r="Y162" i="5"/>
  <c r="AA162" i="5"/>
  <c r="AE162" i="5"/>
  <c r="U163" i="5"/>
  <c r="V163" i="5"/>
  <c r="Y163" i="5"/>
  <c r="AA163" i="5"/>
  <c r="AE163" i="5"/>
  <c r="U164" i="5"/>
  <c r="V164" i="5"/>
  <c r="Y164" i="5"/>
  <c r="AA164" i="5"/>
  <c r="AE164" i="5"/>
  <c r="U165" i="5"/>
  <c r="V165" i="5"/>
  <c r="Y165" i="5"/>
  <c r="AA165" i="5"/>
  <c r="AE165" i="5"/>
  <c r="U166" i="5"/>
  <c r="V166" i="5"/>
  <c r="Y166" i="5"/>
  <c r="AA166" i="5"/>
  <c r="AE166" i="5"/>
  <c r="U167" i="5"/>
  <c r="V167" i="5"/>
  <c r="Y167" i="5"/>
  <c r="AA167" i="5"/>
  <c r="AE167" i="5"/>
  <c r="U168" i="5"/>
  <c r="V168" i="5"/>
  <c r="Y168" i="5"/>
  <c r="AA168" i="5"/>
  <c r="AE168" i="5"/>
  <c r="U169" i="5"/>
  <c r="V169" i="5"/>
  <c r="Y169" i="5"/>
  <c r="AA169" i="5"/>
  <c r="AE169" i="5"/>
  <c r="U170" i="5"/>
  <c r="V170" i="5"/>
  <c r="Y170" i="5"/>
  <c r="AA170" i="5"/>
  <c r="AE170" i="5"/>
  <c r="U171" i="5"/>
  <c r="V171" i="5"/>
  <c r="W171" i="5" s="1"/>
  <c r="Y171" i="5"/>
  <c r="AA171" i="5"/>
  <c r="AE171" i="5"/>
  <c r="N172" i="5"/>
  <c r="U172" i="5"/>
  <c r="V172" i="5"/>
  <c r="Y172" i="5"/>
  <c r="AA172" i="5"/>
  <c r="AE172" i="5"/>
  <c r="U173" i="5"/>
  <c r="V173" i="5"/>
  <c r="Y173" i="5"/>
  <c r="AA173" i="5"/>
  <c r="AE173" i="5"/>
  <c r="U174" i="5"/>
  <c r="V174" i="5"/>
  <c r="Y174" i="5"/>
  <c r="AA174" i="5"/>
  <c r="AE174" i="5"/>
  <c r="U175" i="5"/>
  <c r="V175" i="5"/>
  <c r="Y175" i="5"/>
  <c r="AA175" i="5"/>
  <c r="AE175" i="5"/>
  <c r="U176" i="5"/>
  <c r="V176" i="5"/>
  <c r="Y176" i="5"/>
  <c r="AA176" i="5"/>
  <c r="AE176" i="5"/>
  <c r="U177" i="5"/>
  <c r="V177" i="5"/>
  <c r="Y177" i="5"/>
  <c r="AA177" i="5"/>
  <c r="AE177" i="5"/>
  <c r="U178" i="5"/>
  <c r="V178" i="5"/>
  <c r="Y178" i="5"/>
  <c r="AA178" i="5"/>
  <c r="AE178" i="5"/>
  <c r="U179" i="5"/>
  <c r="V179" i="5"/>
  <c r="Y179" i="5"/>
  <c r="AA179" i="5"/>
  <c r="AE179" i="5"/>
  <c r="U180" i="5"/>
  <c r="V180" i="5"/>
  <c r="Y180" i="5"/>
  <c r="AA180" i="5"/>
  <c r="AE180" i="5"/>
  <c r="V181" i="5"/>
  <c r="Y181" i="5"/>
  <c r="AA181" i="5"/>
  <c r="AE181" i="5"/>
  <c r="U182" i="5"/>
  <c r="V182" i="5"/>
  <c r="Y182" i="5"/>
  <c r="AA182" i="5"/>
  <c r="AE182" i="5"/>
  <c r="U183" i="5"/>
  <c r="V183" i="5"/>
  <c r="Y183" i="5"/>
  <c r="AA183" i="5"/>
  <c r="AE183" i="5"/>
  <c r="U184" i="5"/>
  <c r="V184" i="5"/>
  <c r="Y184" i="5"/>
  <c r="AA184" i="5"/>
  <c r="AE184" i="5"/>
  <c r="U185" i="5"/>
  <c r="V185" i="5"/>
  <c r="W185" i="5" s="1"/>
  <c r="Y185" i="5"/>
  <c r="AA185" i="5"/>
  <c r="AE185" i="5"/>
  <c r="U186" i="5"/>
  <c r="V186" i="5"/>
  <c r="Y186" i="5"/>
  <c r="AA186" i="5"/>
  <c r="AE186" i="5"/>
  <c r="U187" i="5"/>
  <c r="V187" i="5"/>
  <c r="Y187" i="5"/>
  <c r="AA187" i="5"/>
  <c r="AE187" i="5"/>
  <c r="U188" i="5"/>
  <c r="W188" i="5" s="1"/>
  <c r="V188" i="5"/>
  <c r="Y188" i="5"/>
  <c r="AA188" i="5"/>
  <c r="AE188" i="5"/>
  <c r="U189" i="5"/>
  <c r="V189" i="5"/>
  <c r="Y189" i="5"/>
  <c r="AA189" i="5"/>
  <c r="AE189" i="5"/>
  <c r="U190" i="5"/>
  <c r="V190" i="5"/>
  <c r="Y190" i="5"/>
  <c r="AA190" i="5"/>
  <c r="AE190" i="5"/>
  <c r="U191" i="5"/>
  <c r="V191" i="5"/>
  <c r="Y191" i="5"/>
  <c r="AA191" i="5"/>
  <c r="AE191" i="5"/>
  <c r="U192" i="5"/>
  <c r="V192" i="5"/>
  <c r="Y192" i="5"/>
  <c r="AA192" i="5"/>
  <c r="AE192" i="5"/>
  <c r="U193" i="5"/>
  <c r="V193" i="5"/>
  <c r="Y193" i="5"/>
  <c r="AA193" i="5"/>
  <c r="AE193" i="5"/>
  <c r="U194" i="5"/>
  <c r="V194" i="5"/>
  <c r="Y194" i="5"/>
  <c r="AA194" i="5"/>
  <c r="AE194" i="5"/>
  <c r="U196" i="5"/>
  <c r="V196" i="5"/>
  <c r="Y196" i="5"/>
  <c r="AA196" i="5"/>
  <c r="AE196" i="5"/>
  <c r="U197" i="5"/>
  <c r="V197" i="5"/>
  <c r="Y197" i="5"/>
  <c r="AA197" i="5"/>
  <c r="AE197" i="5"/>
  <c r="U198" i="5"/>
  <c r="V198" i="5"/>
  <c r="Y198" i="5"/>
  <c r="AA198" i="5"/>
  <c r="AE198" i="5"/>
  <c r="U199" i="5"/>
  <c r="V199" i="5"/>
  <c r="Y199" i="5"/>
  <c r="AA199" i="5"/>
  <c r="AE199" i="5"/>
  <c r="U200" i="5"/>
  <c r="V200" i="5"/>
  <c r="Y200" i="5"/>
  <c r="AA200" i="5"/>
  <c r="AE200" i="5"/>
  <c r="U201" i="5"/>
  <c r="V201" i="5"/>
  <c r="Y201" i="5"/>
  <c r="AA201" i="5"/>
  <c r="AE201" i="5"/>
  <c r="U202" i="5"/>
  <c r="V202" i="5"/>
  <c r="Y202" i="5"/>
  <c r="AA202" i="5"/>
  <c r="AE202" i="5"/>
  <c r="U203" i="5"/>
  <c r="V203" i="5"/>
  <c r="Y203" i="5"/>
  <c r="AA203" i="5"/>
  <c r="AE203" i="5"/>
  <c r="U204" i="5"/>
  <c r="V204" i="5"/>
  <c r="Y204" i="5"/>
  <c r="AA204" i="5"/>
  <c r="AE204" i="5"/>
  <c r="U205" i="5"/>
  <c r="V205" i="5"/>
  <c r="Y205" i="5"/>
  <c r="AA205" i="5"/>
  <c r="AE205" i="5"/>
  <c r="U206" i="5"/>
  <c r="V206" i="5"/>
  <c r="Y206" i="5"/>
  <c r="AA206" i="5"/>
  <c r="AE206" i="5"/>
  <c r="U207" i="5"/>
  <c r="V207" i="5"/>
  <c r="Y207" i="5"/>
  <c r="AA207" i="5"/>
  <c r="AE207" i="5"/>
  <c r="U208" i="5"/>
  <c r="V208" i="5"/>
  <c r="Y208" i="5"/>
  <c r="AA208" i="5"/>
  <c r="AE208" i="5"/>
  <c r="AJ208" i="5"/>
  <c r="G208" i="5" s="1"/>
  <c r="W39" i="5" l="1"/>
  <c r="W31" i="5"/>
  <c r="W144" i="5"/>
  <c r="W96" i="5"/>
  <c r="W110" i="5"/>
  <c r="W26" i="5"/>
  <c r="W15" i="5"/>
  <c r="AF15" i="5" s="1"/>
  <c r="W116" i="5"/>
  <c r="AF116" i="5" s="1"/>
  <c r="AG116" i="5" s="1"/>
  <c r="AH116" i="5" s="1"/>
  <c r="W62" i="5"/>
  <c r="W18" i="5"/>
  <c r="W10" i="5"/>
  <c r="W5" i="5"/>
  <c r="W183" i="5"/>
  <c r="W201" i="5"/>
  <c r="AF201" i="5" s="1"/>
  <c r="AG201" i="5" s="1"/>
  <c r="AH201" i="5" s="1"/>
  <c r="W187" i="5"/>
  <c r="AF187" i="5" s="1"/>
  <c r="W152" i="5"/>
  <c r="AF152" i="5" s="1"/>
  <c r="W130" i="5"/>
  <c r="W100" i="5"/>
  <c r="W205" i="5"/>
  <c r="W134" i="5"/>
  <c r="AF134" i="5" s="1"/>
  <c r="W9" i="5"/>
  <c r="AF9" i="5" s="1"/>
  <c r="W169" i="5"/>
  <c r="AF169" i="5" s="1"/>
  <c r="AG169" i="5" s="1"/>
  <c r="W127" i="5"/>
  <c r="AF127" i="5" s="1"/>
  <c r="AG127" i="5" s="1"/>
  <c r="AH127" i="5" s="1"/>
  <c r="W67" i="5"/>
  <c r="AF67" i="5" s="1"/>
  <c r="W121" i="5"/>
  <c r="AF121" i="5" s="1"/>
  <c r="AG121" i="5" s="1"/>
  <c r="AH121" i="5" s="1"/>
  <c r="W168" i="5"/>
  <c r="AF168" i="5" s="1"/>
  <c r="AG168" i="5" s="1"/>
  <c r="W53" i="5"/>
  <c r="W40" i="5"/>
  <c r="AF40" i="5" s="1"/>
  <c r="AG40" i="5" s="1"/>
  <c r="W208" i="5"/>
  <c r="AF208" i="5" s="1"/>
  <c r="AG208" i="5" s="1"/>
  <c r="W83" i="5"/>
  <c r="W70" i="5"/>
  <c r="AF70" i="5" s="1"/>
  <c r="W115" i="5"/>
  <c r="AF115" i="5" s="1"/>
  <c r="W64" i="5"/>
  <c r="AF64" i="5" s="1"/>
  <c r="AG64" i="5" s="1"/>
  <c r="W170" i="5"/>
  <c r="AF170" i="5" s="1"/>
  <c r="AG170" i="5" s="1"/>
  <c r="AH170" i="5" s="1"/>
  <c r="AF144" i="5"/>
  <c r="W93" i="5"/>
  <c r="AF93" i="5" s="1"/>
  <c r="AG93" i="5" s="1"/>
  <c r="AH93" i="5" s="1"/>
  <c r="W118" i="5"/>
  <c r="AF118" i="5" s="1"/>
  <c r="AG118" i="5" s="1"/>
  <c r="W41" i="5"/>
  <c r="AF41" i="5" s="1"/>
  <c r="AF43" i="5"/>
  <c r="AG43" i="5" s="1"/>
  <c r="AH43" i="5" s="1"/>
  <c r="W107" i="5"/>
  <c r="AF107" i="5" s="1"/>
  <c r="AG107" i="5" s="1"/>
  <c r="AH107" i="5" s="1"/>
  <c r="W47" i="5"/>
  <c r="AF47" i="5" s="1"/>
  <c r="W60" i="5"/>
  <c r="AF60" i="5" s="1"/>
  <c r="AG60" i="5" s="1"/>
  <c r="W85" i="5"/>
  <c r="W119" i="5"/>
  <c r="AF119" i="5" s="1"/>
  <c r="W166" i="5"/>
  <c r="AF166" i="5" s="1"/>
  <c r="AG166" i="5" s="1"/>
  <c r="W97" i="5"/>
  <c r="AF97" i="5" s="1"/>
  <c r="W33" i="5"/>
  <c r="AF33" i="5" s="1"/>
  <c r="AG33" i="5" s="1"/>
  <c r="W178" i="5"/>
  <c r="AF178" i="5" s="1"/>
  <c r="AG178" i="5" s="1"/>
  <c r="W101" i="5"/>
  <c r="W37" i="5"/>
  <c r="W147" i="5"/>
  <c r="AF147" i="5" s="1"/>
  <c r="AF44" i="5"/>
  <c r="AG44" i="5" s="1"/>
  <c r="W203" i="5"/>
  <c r="AF203" i="5" s="1"/>
  <c r="W112" i="5"/>
  <c r="AF112" i="5" s="1"/>
  <c r="W74" i="5"/>
  <c r="AF74" i="5" s="1"/>
  <c r="W113" i="5"/>
  <c r="AF113" i="5" s="1"/>
  <c r="AG113" i="5" s="1"/>
  <c r="AH113" i="5" s="1"/>
  <c r="W206" i="5"/>
  <c r="AF206" i="5" s="1"/>
  <c r="AG206" i="5" s="1"/>
  <c r="W159" i="5"/>
  <c r="AF159" i="5" s="1"/>
  <c r="AG159" i="5" s="1"/>
  <c r="W109" i="5"/>
  <c r="AF109" i="5" s="1"/>
  <c r="AG109" i="5" s="1"/>
  <c r="W35" i="5"/>
  <c r="W163" i="5"/>
  <c r="AF163" i="5" s="1"/>
  <c r="W142" i="5"/>
  <c r="AF142" i="5" s="1"/>
  <c r="AG142" i="5" s="1"/>
  <c r="AH142" i="5" s="1"/>
  <c r="W22" i="5"/>
  <c r="AF22" i="5" s="1"/>
  <c r="AH22" i="5" s="1"/>
  <c r="W175" i="5"/>
  <c r="AF175" i="5" s="1"/>
  <c r="AH175" i="5" s="1"/>
  <c r="AI175" i="5" s="1"/>
  <c r="AJ175" i="5" s="1"/>
  <c r="G175" i="5" s="1"/>
  <c r="W154" i="5"/>
  <c r="W75" i="5"/>
  <c r="AF75" i="5" s="1"/>
  <c r="AG75" i="5" s="1"/>
  <c r="AH75" i="5" s="1"/>
  <c r="W46" i="5"/>
  <c r="AF46" i="5" s="1"/>
  <c r="W38" i="5"/>
  <c r="AF38" i="5" s="1"/>
  <c r="AG38" i="5" s="1"/>
  <c r="W7" i="5"/>
  <c r="AF7" i="5" s="1"/>
  <c r="AG7" i="5" s="1"/>
  <c r="W73" i="5"/>
  <c r="AF73" i="5" s="1"/>
  <c r="AG73" i="5" s="1"/>
  <c r="AH73" i="5" s="1"/>
  <c r="W82" i="5"/>
  <c r="W182" i="5"/>
  <c r="AF182" i="5" s="1"/>
  <c r="AG182" i="5" s="1"/>
  <c r="AH182" i="5" s="1"/>
  <c r="W57" i="5"/>
  <c r="AF57" i="5" s="1"/>
  <c r="AG57" i="5" s="1"/>
  <c r="AH57" i="5" s="1"/>
  <c r="W3" i="5"/>
  <c r="AF3" i="5" s="1"/>
  <c r="W173" i="5"/>
  <c r="AF173" i="5" s="1"/>
  <c r="W140" i="5"/>
  <c r="AF140" i="5" s="1"/>
  <c r="W194" i="5"/>
  <c r="AF194" i="5" s="1"/>
  <c r="W199" i="5"/>
  <c r="AF199" i="5" s="1"/>
  <c r="AG199" i="5" s="1"/>
  <c r="W52" i="5"/>
  <c r="AF52" i="5" s="1"/>
  <c r="AH52" i="5" s="1"/>
  <c r="AF2" i="5"/>
  <c r="AG2" i="5" s="1"/>
  <c r="AH2" i="5" s="1"/>
  <c r="W207" i="5"/>
  <c r="AF207" i="5" s="1"/>
  <c r="AG207" i="5" s="1"/>
  <c r="W189" i="5"/>
  <c r="AG163" i="5"/>
  <c r="W95" i="5"/>
  <c r="AF95" i="5" s="1"/>
  <c r="AG95" i="5" s="1"/>
  <c r="W71" i="5"/>
  <c r="AF71" i="5" s="1"/>
  <c r="W77" i="5"/>
  <c r="AF77" i="5" s="1"/>
  <c r="AG77" i="5" s="1"/>
  <c r="W145" i="5"/>
  <c r="AF145" i="5" s="1"/>
  <c r="AG145" i="5" s="1"/>
  <c r="W172" i="5"/>
  <c r="AF172" i="5" s="1"/>
  <c r="AG172" i="5" s="1"/>
  <c r="W157" i="5"/>
  <c r="AF157" i="5" s="1"/>
  <c r="W161" i="5"/>
  <c r="AF161" i="5" s="1"/>
  <c r="AG161" i="5" s="1"/>
  <c r="AH161" i="5" s="1"/>
  <c r="W80" i="5"/>
  <c r="W196" i="5"/>
  <c r="AF196" i="5" s="1"/>
  <c r="AF79" i="5"/>
  <c r="AG79" i="5" s="1"/>
  <c r="W179" i="5"/>
  <c r="AF179" i="5" s="1"/>
  <c r="AG179" i="5" s="1"/>
  <c r="AH179" i="5" s="1"/>
  <c r="W11" i="5"/>
  <c r="AF11" i="5" s="1"/>
  <c r="W27" i="5"/>
  <c r="AF27" i="5" s="1"/>
  <c r="AG27" i="5" s="1"/>
  <c r="W23" i="5"/>
  <c r="AF23" i="5" s="1"/>
  <c r="W143" i="5"/>
  <c r="AF143" i="5" s="1"/>
  <c r="W106" i="5"/>
  <c r="AF106" i="5" s="1"/>
  <c r="AG106" i="5" s="1"/>
  <c r="W58" i="5"/>
  <c r="AF58" i="5" s="1"/>
  <c r="W186" i="5"/>
  <c r="AF186" i="5" s="1"/>
  <c r="AG186" i="5" s="1"/>
  <c r="AH186" i="5" s="1"/>
  <c r="W86" i="5"/>
  <c r="AF86" i="5" s="1"/>
  <c r="AG86" i="5" s="1"/>
  <c r="AH86" i="5" s="1"/>
  <c r="W78" i="5"/>
  <c r="AF78" i="5" s="1"/>
  <c r="W42" i="5"/>
  <c r="AF42" i="5" s="1"/>
  <c r="AF205" i="5"/>
  <c r="AG205" i="5" s="1"/>
  <c r="AF154" i="5"/>
  <c r="AG154" i="5" s="1"/>
  <c r="W49" i="5"/>
  <c r="AF49" i="5" s="1"/>
  <c r="AG49" i="5" s="1"/>
  <c r="AH49" i="5" s="1"/>
  <c r="W65" i="5"/>
  <c r="W165" i="5"/>
  <c r="AF165" i="5" s="1"/>
  <c r="AG165" i="5" s="1"/>
  <c r="AH165" i="5" s="1"/>
  <c r="AF53" i="5"/>
  <c r="AG53" i="5" s="1"/>
  <c r="W69" i="5"/>
  <c r="AF69" i="5" s="1"/>
  <c r="AG69" i="5" s="1"/>
  <c r="AH69" i="5" s="1"/>
  <c r="W13" i="5"/>
  <c r="AF13" i="5" s="1"/>
  <c r="AG13" i="5" s="1"/>
  <c r="W202" i="5"/>
  <c r="AF202" i="5" s="1"/>
  <c r="W21" i="5"/>
  <c r="AF21" i="5" s="1"/>
  <c r="W174" i="5"/>
  <c r="AF174" i="5" s="1"/>
  <c r="AG174" i="5" s="1"/>
  <c r="AH174" i="5" s="1"/>
  <c r="AF185" i="5"/>
  <c r="AG185" i="5" s="1"/>
  <c r="AH185" i="5" s="1"/>
  <c r="AI185" i="5" s="1"/>
  <c r="AJ185" i="5" s="1"/>
  <c r="G185" i="5" s="1"/>
  <c r="W117" i="5"/>
  <c r="AF117" i="5" s="1"/>
  <c r="AG117" i="5" s="1"/>
  <c r="AH117" i="5" s="1"/>
  <c r="AF28" i="5"/>
  <c r="AG28" i="5" s="1"/>
  <c r="AF24" i="5"/>
  <c r="AG24" i="5" s="1"/>
  <c r="AH24" i="5" s="1"/>
  <c r="W160" i="5"/>
  <c r="AF160" i="5" s="1"/>
  <c r="AG160" i="5" s="1"/>
  <c r="W32" i="5"/>
  <c r="AF32" i="5" s="1"/>
  <c r="W197" i="5"/>
  <c r="AF197" i="5" s="1"/>
  <c r="AG197" i="5" s="1"/>
  <c r="AF128" i="5"/>
  <c r="AG128" i="5" s="1"/>
  <c r="AF120" i="5"/>
  <c r="AG120" i="5" s="1"/>
  <c r="AF39" i="5"/>
  <c r="W16" i="5"/>
  <c r="AF16" i="5" s="1"/>
  <c r="AG16" i="5" s="1"/>
  <c r="AH16" i="5" s="1"/>
  <c r="W12" i="5"/>
  <c r="AF12" i="5" s="1"/>
  <c r="W50" i="5"/>
  <c r="AF50" i="5" s="1"/>
  <c r="AG50" i="5" s="1"/>
  <c r="AH50" i="5" s="1"/>
  <c r="W54" i="5"/>
  <c r="AF54" i="5" s="1"/>
  <c r="AG54" i="5" s="1"/>
  <c r="W151" i="5"/>
  <c r="AF151" i="5" s="1"/>
  <c r="W136" i="5"/>
  <c r="AF136" i="5" s="1"/>
  <c r="AG136" i="5" s="1"/>
  <c r="AH136" i="5" s="1"/>
  <c r="AF100" i="5"/>
  <c r="AG100" i="5" s="1"/>
  <c r="AH100" i="5" s="1"/>
  <c r="AF31" i="5"/>
  <c r="AG31" i="5" s="1"/>
  <c r="W184" i="5"/>
  <c r="AF184" i="5" s="1"/>
  <c r="AG184" i="5" s="1"/>
  <c r="AH184" i="5" s="1"/>
  <c r="W200" i="5"/>
  <c r="AF200" i="5" s="1"/>
  <c r="W45" i="5"/>
  <c r="AF45" i="5" s="1"/>
  <c r="AH45" i="5" s="1"/>
  <c r="W139" i="5"/>
  <c r="AF139" i="5" s="1"/>
  <c r="W131" i="5"/>
  <c r="AF131" i="5" s="1"/>
  <c r="W191" i="5"/>
  <c r="AF191" i="5" s="1"/>
  <c r="AG191" i="5" s="1"/>
  <c r="W61" i="5"/>
  <c r="AF61" i="5" s="1"/>
  <c r="W158" i="5"/>
  <c r="AF158" i="5" s="1"/>
  <c r="W146" i="5"/>
  <c r="AF146" i="5" s="1"/>
  <c r="AG146" i="5" s="1"/>
  <c r="W72" i="5"/>
  <c r="AF72" i="5" s="1"/>
  <c r="AG72" i="5" s="1"/>
  <c r="W68" i="5"/>
  <c r="AF68" i="5" s="1"/>
  <c r="W164" i="5"/>
  <c r="AF164" i="5" s="1"/>
  <c r="W48" i="5"/>
  <c r="AF48" i="5" s="1"/>
  <c r="AF171" i="5"/>
  <c r="AG171" i="5" s="1"/>
  <c r="AH171" i="5" s="1"/>
  <c r="AF149" i="5"/>
  <c r="AG149" i="5" s="1"/>
  <c r="W6" i="5"/>
  <c r="AF6" i="5" s="1"/>
  <c r="AG6" i="5" s="1"/>
  <c r="AH6" i="5" s="1"/>
  <c r="AF141" i="5"/>
  <c r="AG141" i="5" s="1"/>
  <c r="AH141" i="5" s="1"/>
  <c r="W87" i="5"/>
  <c r="AF87" i="5" s="1"/>
  <c r="W153" i="5"/>
  <c r="AF153" i="5" s="1"/>
  <c r="AG153" i="5" s="1"/>
  <c r="AH153" i="5" s="1"/>
  <c r="W102" i="5"/>
  <c r="AF102" i="5" s="1"/>
  <c r="AG102" i="5" s="1"/>
  <c r="W98" i="5"/>
  <c r="AF98" i="5" s="1"/>
  <c r="AG98" i="5" s="1"/>
  <c r="W94" i="5"/>
  <c r="AF94" i="5" s="1"/>
  <c r="AG94" i="5" s="1"/>
  <c r="AF103" i="5"/>
  <c r="AG103" i="5" s="1"/>
  <c r="AF89" i="5"/>
  <c r="W63" i="5"/>
  <c r="AF63" i="5" s="1"/>
  <c r="W126" i="5"/>
  <c r="AF126" i="5" s="1"/>
  <c r="AF18" i="5"/>
  <c r="W59" i="5"/>
  <c r="AF59" i="5" s="1"/>
  <c r="AG59" i="5" s="1"/>
  <c r="AH59" i="5" s="1"/>
  <c r="W55" i="5"/>
  <c r="AF55" i="5" s="1"/>
  <c r="AG55" i="5" s="1"/>
  <c r="W129" i="5"/>
  <c r="AF129" i="5" s="1"/>
  <c r="AG129" i="5" s="1"/>
  <c r="AH129" i="5" s="1"/>
  <c r="W114" i="5"/>
  <c r="AF114" i="5" s="1"/>
  <c r="AG114" i="5" s="1"/>
  <c r="AH114" i="5" s="1"/>
  <c r="W51" i="5"/>
  <c r="AF51" i="5" s="1"/>
  <c r="W14" i="5"/>
  <c r="AF14" i="5" s="1"/>
  <c r="AF62" i="5"/>
  <c r="AG62" i="5" s="1"/>
  <c r="W155" i="5"/>
  <c r="AF155" i="5" s="1"/>
  <c r="AG155" i="5" s="1"/>
  <c r="W137" i="5"/>
  <c r="AF137" i="5" s="1"/>
  <c r="W99" i="5"/>
  <c r="AF99" i="5" s="1"/>
  <c r="AG99" i="5" s="1"/>
  <c r="W25" i="5"/>
  <c r="AF25" i="5" s="1"/>
  <c r="AG25" i="5" s="1"/>
  <c r="AF10" i="5"/>
  <c r="W190" i="5"/>
  <c r="AF190" i="5" s="1"/>
  <c r="W125" i="5"/>
  <c r="AF125" i="5" s="1"/>
  <c r="W92" i="5"/>
  <c r="AF92" i="5" s="1"/>
  <c r="AG92" i="5" s="1"/>
  <c r="AH92" i="5" s="1"/>
  <c r="W84" i="5"/>
  <c r="AF84" i="5" s="1"/>
  <c r="AG196" i="5"/>
  <c r="AH196" i="5" s="1"/>
  <c r="AF188" i="5"/>
  <c r="W193" i="5"/>
  <c r="AF193" i="5" s="1"/>
  <c r="W176" i="5"/>
  <c r="AF176" i="5" s="1"/>
  <c r="AF88" i="5"/>
  <c r="W91" i="5"/>
  <c r="AF91" i="5" s="1"/>
  <c r="AF189" i="5"/>
  <c r="AF132" i="5"/>
  <c r="W104" i="5"/>
  <c r="AF104" i="5" s="1"/>
  <c r="AF4" i="5"/>
  <c r="W133" i="5"/>
  <c r="AF133" i="5" s="1"/>
  <c r="AF130" i="5"/>
  <c r="AF96" i="5"/>
  <c r="W135" i="5"/>
  <c r="AF135" i="5" s="1"/>
  <c r="AF101" i="5"/>
  <c r="AF85" i="5"/>
  <c r="W180" i="5"/>
  <c r="AF180" i="5" s="1"/>
  <c r="AF29" i="5"/>
  <c r="W17" i="5"/>
  <c r="AF17" i="5" s="1"/>
  <c r="W20" i="5"/>
  <c r="AF20" i="5" s="1"/>
  <c r="W177" i="5"/>
  <c r="AF177" i="5" s="1"/>
  <c r="W148" i="5"/>
  <c r="AF148" i="5" s="1"/>
  <c r="W90" i="5"/>
  <c r="AF90" i="5" s="1"/>
  <c r="W167" i="5"/>
  <c r="AF167" i="5" s="1"/>
  <c r="AF37" i="5"/>
  <c r="W81" i="5"/>
  <c r="AF81" i="5" s="1"/>
  <c r="W34" i="5"/>
  <c r="AF34" i="5" s="1"/>
  <c r="AF110" i="5"/>
  <c r="AF83" i="5"/>
  <c r="W105" i="5"/>
  <c r="AF105" i="5" s="1"/>
  <c r="AF5" i="5"/>
  <c r="W198" i="5"/>
  <c r="AF198" i="5" s="1"/>
  <c r="W122" i="5"/>
  <c r="AF122" i="5" s="1"/>
  <c r="W111" i="5"/>
  <c r="AF111" i="5" s="1"/>
  <c r="W66" i="5"/>
  <c r="AF66" i="5" s="1"/>
  <c r="W124" i="5"/>
  <c r="AF124" i="5" s="1"/>
  <c r="W36" i="5"/>
  <c r="AF36" i="5" s="1"/>
  <c r="W181" i="5"/>
  <c r="AF181" i="5" s="1"/>
  <c r="W150" i="5"/>
  <c r="AF150" i="5" s="1"/>
  <c r="W156" i="5"/>
  <c r="AF156" i="5" s="1"/>
  <c r="W19" i="5"/>
  <c r="AF19" i="5" s="1"/>
  <c r="AF183" i="5"/>
  <c r="AF35" i="5"/>
  <c r="W162" i="5"/>
  <c r="AF162" i="5" s="1"/>
  <c r="W108" i="5"/>
  <c r="AF108" i="5" s="1"/>
  <c r="W8" i="5"/>
  <c r="AF8" i="5" s="1"/>
  <c r="W76" i="5"/>
  <c r="AF76" i="5" s="1"/>
  <c r="AF80" i="5"/>
  <c r="W123" i="5"/>
  <c r="AF123" i="5" s="1"/>
  <c r="AF82" i="5"/>
  <c r="AF65" i="5"/>
  <c r="W192" i="5"/>
  <c r="AF192" i="5" s="1"/>
  <c r="W56" i="5"/>
  <c r="AF56" i="5" s="1"/>
  <c r="W204" i="5"/>
  <c r="AF204" i="5" s="1"/>
  <c r="W30" i="5"/>
  <c r="AF30" i="5" s="1"/>
  <c r="AF26" i="5"/>
  <c r="AG15" i="5" l="1"/>
  <c r="AH15" i="5" s="1"/>
  <c r="AI15" i="5" s="1"/>
  <c r="AJ15" i="5" s="1"/>
  <c r="G15" i="5" s="1"/>
  <c r="AG22" i="5"/>
  <c r="AH163" i="5"/>
  <c r="AG175" i="5"/>
  <c r="AH44" i="5"/>
  <c r="AI44" i="5" s="1"/>
  <c r="AJ44" i="5" s="1"/>
  <c r="G44" i="5" s="1"/>
  <c r="AI163" i="5"/>
  <c r="AJ163" i="5"/>
  <c r="G163" i="5" s="1"/>
  <c r="AH7" i="5"/>
  <c r="AH103" i="5"/>
  <c r="AI103" i="5" s="1"/>
  <c r="AJ103" i="5" s="1"/>
  <c r="G103" i="5" s="1"/>
  <c r="AH33" i="5"/>
  <c r="AI33" i="5" s="1"/>
  <c r="AJ33" i="5" s="1"/>
  <c r="G33" i="5" s="1"/>
  <c r="AH206" i="5"/>
  <c r="AI206" i="5" s="1"/>
  <c r="AJ206" i="5" s="1"/>
  <c r="G206" i="5" s="1"/>
  <c r="AH178" i="5"/>
  <c r="AI178" i="5" s="1"/>
  <c r="AJ178" i="5" s="1"/>
  <c r="G178" i="5" s="1"/>
  <c r="AH64" i="5"/>
  <c r="AI64" i="5" s="1"/>
  <c r="AJ64" i="5" s="1"/>
  <c r="G64" i="5" s="1"/>
  <c r="AH118" i="5"/>
  <c r="AI118" i="5" s="1"/>
  <c r="AG144" i="5"/>
  <c r="AH144" i="5" s="1"/>
  <c r="AH149" i="5"/>
  <c r="AI149" i="5" s="1"/>
  <c r="AJ149" i="5" s="1"/>
  <c r="G149" i="5" s="1"/>
  <c r="AH25" i="5"/>
  <c r="AI25" i="5" s="1"/>
  <c r="AJ25" i="5" s="1"/>
  <c r="G25" i="5" s="1"/>
  <c r="AG140" i="5"/>
  <c r="AH140" i="5" s="1"/>
  <c r="AH172" i="5"/>
  <c r="AI172" i="5" s="1"/>
  <c r="AJ172" i="5" s="1"/>
  <c r="G172" i="5" s="1"/>
  <c r="AH120" i="5"/>
  <c r="AI120" i="5" s="1"/>
  <c r="AJ120" i="5" s="1"/>
  <c r="G120" i="5" s="1"/>
  <c r="AG194" i="5"/>
  <c r="AH194" i="5" s="1"/>
  <c r="AH154" i="5"/>
  <c r="AH166" i="5"/>
  <c r="AI166" i="5" s="1"/>
  <c r="AJ166" i="5" s="1"/>
  <c r="G166" i="5" s="1"/>
  <c r="AH27" i="5"/>
  <c r="AI27" i="5" s="1"/>
  <c r="AJ27" i="5" s="1"/>
  <c r="G27" i="5" s="1"/>
  <c r="AH28" i="5"/>
  <c r="AI28" i="5" s="1"/>
  <c r="AJ28" i="5" s="1"/>
  <c r="G28" i="5" s="1"/>
  <c r="AH155" i="5"/>
  <c r="AI155" i="5" s="1"/>
  <c r="AJ155" i="5" s="1"/>
  <c r="G155" i="5" s="1"/>
  <c r="AH77" i="5"/>
  <c r="AI77" i="5" s="1"/>
  <c r="AG32" i="5"/>
  <c r="AH32" i="5" s="1"/>
  <c r="AI32" i="5" s="1"/>
  <c r="AJ32" i="5" s="1"/>
  <c r="G32" i="5" s="1"/>
  <c r="AH38" i="5"/>
  <c r="AI38" i="5" s="1"/>
  <c r="AJ38" i="5" s="1"/>
  <c r="AH205" i="5"/>
  <c r="AH145" i="5"/>
  <c r="AH128" i="5"/>
  <c r="AI128" i="5" s="1"/>
  <c r="AJ128" i="5" s="1"/>
  <c r="G128" i="5" s="1"/>
  <c r="AH95" i="5"/>
  <c r="AH62" i="5"/>
  <c r="AI62" i="5" s="1"/>
  <c r="AH160" i="5"/>
  <c r="AI160" i="5" s="1"/>
  <c r="AJ160" i="5" s="1"/>
  <c r="G160" i="5" s="1"/>
  <c r="AI93" i="5"/>
  <c r="AJ93" i="5" s="1"/>
  <c r="G93" i="5" s="1"/>
  <c r="AH168" i="5"/>
  <c r="AI168" i="5" s="1"/>
  <c r="AJ168" i="5" s="1"/>
  <c r="G168" i="5" s="1"/>
  <c r="AH79" i="5"/>
  <c r="AI79" i="5" s="1"/>
  <c r="AG89" i="5"/>
  <c r="AH89" i="5" s="1"/>
  <c r="AI89" i="5" s="1"/>
  <c r="AJ89" i="5" s="1"/>
  <c r="G89" i="5" s="1"/>
  <c r="AH207" i="5"/>
  <c r="AI207" i="5" s="1"/>
  <c r="AJ207" i="5" s="1"/>
  <c r="G207" i="5" s="1"/>
  <c r="AH54" i="5"/>
  <c r="AI54" i="5" s="1"/>
  <c r="AH197" i="5"/>
  <c r="AI197" i="5" s="1"/>
  <c r="AJ197" i="5" s="1"/>
  <c r="G197" i="5" s="1"/>
  <c r="AH106" i="5"/>
  <c r="AH53" i="5"/>
  <c r="AI53" i="5" s="1"/>
  <c r="AJ53" i="5" s="1"/>
  <c r="G53" i="5" s="1"/>
  <c r="AG52" i="5"/>
  <c r="AH99" i="5"/>
  <c r="AH102" i="5"/>
  <c r="AI102" i="5" s="1"/>
  <c r="AJ102" i="5" s="1"/>
  <c r="G102" i="5" s="1"/>
  <c r="AG139" i="5"/>
  <c r="AH139" i="5" s="1"/>
  <c r="AI139" i="5" s="1"/>
  <c r="AJ139" i="5" s="1"/>
  <c r="G139" i="5" s="1"/>
  <c r="AI107" i="5"/>
  <c r="AJ107" i="5"/>
  <c r="G107" i="5" s="1"/>
  <c r="AI182" i="5"/>
  <c r="AJ182" i="5" s="1"/>
  <c r="G182" i="5" s="1"/>
  <c r="AI161" i="5"/>
  <c r="AJ161" i="5" s="1"/>
  <c r="G161" i="5" s="1"/>
  <c r="AH191" i="5"/>
  <c r="AI191" i="5" s="1"/>
  <c r="AJ191" i="5" s="1"/>
  <c r="G191" i="5" s="1"/>
  <c r="AG14" i="5"/>
  <c r="AH14" i="5" s="1"/>
  <c r="AH60" i="5"/>
  <c r="AH169" i="5"/>
  <c r="AG18" i="5"/>
  <c r="AH18" i="5" s="1"/>
  <c r="AG10" i="5"/>
  <c r="AH10" i="5"/>
  <c r="AH208" i="5"/>
  <c r="AI208" i="5" s="1"/>
  <c r="AH159" i="5"/>
  <c r="AI159" i="5" s="1"/>
  <c r="AH202" i="5"/>
  <c r="AG202" i="5"/>
  <c r="AG45" i="5"/>
  <c r="AH94" i="5"/>
  <c r="AI94" i="5" s="1"/>
  <c r="AJ94" i="5" s="1"/>
  <c r="G94" i="5" s="1"/>
  <c r="AG151" i="5"/>
  <c r="AH151" i="5" s="1"/>
  <c r="AI151" i="5" s="1"/>
  <c r="AJ151" i="5" s="1"/>
  <c r="G151" i="5" s="1"/>
  <c r="AH13" i="5"/>
  <c r="AI13" i="5" s="1"/>
  <c r="AH72" i="5"/>
  <c r="AI72" i="5" s="1"/>
  <c r="AJ72" i="5" s="1"/>
  <c r="G72" i="5" s="1"/>
  <c r="AG190" i="5"/>
  <c r="AH190" i="5" s="1"/>
  <c r="AG61" i="5"/>
  <c r="AH61" i="5" s="1"/>
  <c r="AH109" i="5"/>
  <c r="AI109" i="5" s="1"/>
  <c r="AJ109" i="5" s="1"/>
  <c r="G109" i="5" s="1"/>
  <c r="AH146" i="5"/>
  <c r="AH199" i="5"/>
  <c r="AI199" i="5" s="1"/>
  <c r="AJ199" i="5" s="1"/>
  <c r="G199" i="5" s="1"/>
  <c r="AH31" i="5"/>
  <c r="AI31" i="5" s="1"/>
  <c r="AJ31" i="5" s="1"/>
  <c r="G31" i="5" s="1"/>
  <c r="AG137" i="5"/>
  <c r="AH137" i="5" s="1"/>
  <c r="AG39" i="5"/>
  <c r="AH39" i="5"/>
  <c r="AI39" i="5" s="1"/>
  <c r="AJ39" i="5" s="1"/>
  <c r="G39" i="5" s="1"/>
  <c r="AH40" i="5"/>
  <c r="AI40" i="5" s="1"/>
  <c r="AJ40" i="5" s="1"/>
  <c r="G40" i="5" s="1"/>
  <c r="AH55" i="5"/>
  <c r="AI55" i="5" s="1"/>
  <c r="AG67" i="5"/>
  <c r="AH67" i="5" s="1"/>
  <c r="AH98" i="5"/>
  <c r="AI98" i="5" s="1"/>
  <c r="AJ98" i="5" s="1"/>
  <c r="G98" i="5" s="1"/>
  <c r="AG84" i="5"/>
  <c r="AH84" i="5" s="1"/>
  <c r="AI179" i="5"/>
  <c r="AJ179" i="5" s="1"/>
  <c r="G179" i="5" s="1"/>
  <c r="AI121" i="5"/>
  <c r="AJ121" i="5" s="1"/>
  <c r="G121" i="5" s="1"/>
  <c r="AI6" i="5"/>
  <c r="AJ6" i="5" s="1"/>
  <c r="G6" i="5" s="1"/>
  <c r="AI113" i="5"/>
  <c r="AJ113" i="5" s="1"/>
  <c r="G113" i="5" s="1"/>
  <c r="AI59" i="5"/>
  <c r="AJ59" i="5" s="1"/>
  <c r="AI186" i="5"/>
  <c r="AJ186" i="5" s="1"/>
  <c r="G186" i="5" s="1"/>
  <c r="AI165" i="5"/>
  <c r="AJ165" i="5" s="1"/>
  <c r="G165" i="5" s="1"/>
  <c r="AI86" i="5"/>
  <c r="AJ86" i="5" s="1"/>
  <c r="G86" i="5" s="1"/>
  <c r="AI24" i="5"/>
  <c r="AJ24" i="5" s="1"/>
  <c r="G24" i="5" s="1"/>
  <c r="AI129" i="5"/>
  <c r="AJ129" i="5" s="1"/>
  <c r="G129" i="5" s="1"/>
  <c r="AI136" i="5"/>
  <c r="AJ136" i="5" s="1"/>
  <c r="G136" i="5" s="1"/>
  <c r="AI50" i="5"/>
  <c r="AJ50" i="5" s="1"/>
  <c r="G50" i="5" s="1"/>
  <c r="AI92" i="5"/>
  <c r="AJ92" i="5" s="1"/>
  <c r="G92" i="5" s="1"/>
  <c r="AI117" i="5"/>
  <c r="AJ117" i="5" s="1"/>
  <c r="G117" i="5" s="1"/>
  <c r="AI184" i="5"/>
  <c r="AJ184" i="5" s="1"/>
  <c r="G184" i="5" s="1"/>
  <c r="AI201" i="5"/>
  <c r="AJ201" i="5" s="1"/>
  <c r="G201" i="5" s="1"/>
  <c r="AI142" i="5"/>
  <c r="AJ142" i="5" s="1"/>
  <c r="G142" i="5" s="1"/>
  <c r="AI100" i="5"/>
  <c r="AJ100" i="5" s="1"/>
  <c r="G100" i="5" s="1"/>
  <c r="AI75" i="5"/>
  <c r="AJ75" i="5" s="1"/>
  <c r="G75" i="5" s="1"/>
  <c r="AI170" i="5"/>
  <c r="AJ170" i="5" s="1"/>
  <c r="G170" i="5" s="1"/>
  <c r="AI174" i="5"/>
  <c r="AJ174" i="5"/>
  <c r="G174" i="5" s="1"/>
  <c r="AG37" i="5"/>
  <c r="AH37" i="5"/>
  <c r="AG4" i="5"/>
  <c r="AH4" i="5" s="1"/>
  <c r="AG80" i="5"/>
  <c r="AH80" i="5" s="1"/>
  <c r="AG130" i="5"/>
  <c r="AH130" i="5" s="1"/>
  <c r="AI2" i="5"/>
  <c r="AJ2" i="5" s="1"/>
  <c r="G2" i="5" s="1"/>
  <c r="AI43" i="5"/>
  <c r="AJ43" i="5" s="1"/>
  <c r="G43" i="5" s="1"/>
  <c r="AG125" i="5"/>
  <c r="AH125" i="5" s="1"/>
  <c r="AG68" i="5"/>
  <c r="AH68" i="5" s="1"/>
  <c r="AI57" i="5"/>
  <c r="AJ57" i="5" s="1"/>
  <c r="G57" i="5" s="1"/>
  <c r="AG78" i="5"/>
  <c r="AH78" i="5" s="1"/>
  <c r="AG42" i="5"/>
  <c r="AH42" i="5" s="1"/>
  <c r="AG23" i="5"/>
  <c r="AH23" i="5" s="1"/>
  <c r="AG111" i="5"/>
  <c r="AH111" i="5"/>
  <c r="AG173" i="5"/>
  <c r="AH173" i="5" s="1"/>
  <c r="AG87" i="5"/>
  <c r="AH87" i="5" s="1"/>
  <c r="AI99" i="5"/>
  <c r="AG122" i="5"/>
  <c r="AH122" i="5" s="1"/>
  <c r="AG157" i="5"/>
  <c r="AH157" i="5" s="1"/>
  <c r="AG188" i="5"/>
  <c r="AH188" i="5" s="1"/>
  <c r="AG119" i="5"/>
  <c r="AH119" i="5"/>
  <c r="AI52" i="5"/>
  <c r="AJ52" i="5" s="1"/>
  <c r="G52" i="5" s="1"/>
  <c r="AI73" i="5"/>
  <c r="AJ73" i="5" s="1"/>
  <c r="G73" i="5" s="1"/>
  <c r="AG21" i="5"/>
  <c r="AH21" i="5" s="1"/>
  <c r="AI153" i="5"/>
  <c r="AJ153" i="5" s="1"/>
  <c r="G153" i="5" s="1"/>
  <c r="AG177" i="5"/>
  <c r="AH177" i="5" s="1"/>
  <c r="AI196" i="5"/>
  <c r="AJ196" i="5" s="1"/>
  <c r="G196" i="5" s="1"/>
  <c r="AI171" i="5"/>
  <c r="AJ171" i="5" s="1"/>
  <c r="G171" i="5" s="1"/>
  <c r="AG66" i="5"/>
  <c r="AH66" i="5" s="1"/>
  <c r="AG8" i="5"/>
  <c r="AH8" i="5" s="1"/>
  <c r="AG48" i="5"/>
  <c r="AH48" i="5"/>
  <c r="AG152" i="5"/>
  <c r="AH152" i="5" s="1"/>
  <c r="AI22" i="5"/>
  <c r="AJ22" i="5" s="1"/>
  <c r="G22" i="5" s="1"/>
  <c r="AG110" i="5"/>
  <c r="AH110" i="5" s="1"/>
  <c r="AG115" i="5"/>
  <c r="AH115" i="5" s="1"/>
  <c r="AI69" i="5"/>
  <c r="AJ69" i="5"/>
  <c r="G69" i="5" s="1"/>
  <c r="AG108" i="5"/>
  <c r="AH108" i="5" s="1"/>
  <c r="AI16" i="5"/>
  <c r="AJ16" i="5" s="1"/>
  <c r="G16" i="5" s="1"/>
  <c r="AI127" i="5"/>
  <c r="AJ127" i="5" s="1"/>
  <c r="G127" i="5" s="1"/>
  <c r="AG162" i="5"/>
  <c r="AH162" i="5" s="1"/>
  <c r="AH35" i="5"/>
  <c r="AG35" i="5"/>
  <c r="AG198" i="5"/>
  <c r="AH198" i="5" s="1"/>
  <c r="AG20" i="5"/>
  <c r="AH20" i="5"/>
  <c r="AG176" i="5"/>
  <c r="AH176" i="5" s="1"/>
  <c r="AG203" i="5"/>
  <c r="AH203" i="5" s="1"/>
  <c r="AG204" i="5"/>
  <c r="AH204" i="5" s="1"/>
  <c r="AG46" i="5"/>
  <c r="AH46" i="5" s="1"/>
  <c r="AG70" i="5"/>
  <c r="AH70" i="5" s="1"/>
  <c r="AG124" i="5"/>
  <c r="AH124" i="5" s="1"/>
  <c r="AG12" i="5"/>
  <c r="AH12" i="5" s="1"/>
  <c r="AH83" i="5"/>
  <c r="AG83" i="5"/>
  <c r="AG133" i="5"/>
  <c r="AH133" i="5" s="1"/>
  <c r="AG76" i="5"/>
  <c r="AH76" i="5" s="1"/>
  <c r="AG183" i="5"/>
  <c r="AH183" i="5" s="1"/>
  <c r="AG5" i="5"/>
  <c r="AH5" i="5" s="1"/>
  <c r="AG9" i="5"/>
  <c r="AH9" i="5" s="1"/>
  <c r="AG193" i="5"/>
  <c r="AH193" i="5" s="1"/>
  <c r="AG131" i="5"/>
  <c r="AH131" i="5"/>
  <c r="AG11" i="5"/>
  <c r="AH11" i="5" s="1"/>
  <c r="AG34" i="5"/>
  <c r="AH34" i="5" s="1"/>
  <c r="AG17" i="5"/>
  <c r="AH17" i="5" s="1"/>
  <c r="AG88" i="5"/>
  <c r="AH88" i="5"/>
  <c r="AG164" i="5"/>
  <c r="AH164" i="5" s="1"/>
  <c r="AG29" i="5"/>
  <c r="AH29" i="5" s="1"/>
  <c r="AG158" i="5"/>
  <c r="AH158" i="5" s="1"/>
  <c r="AG19" i="5"/>
  <c r="AH19" i="5" s="1"/>
  <c r="AG81" i="5"/>
  <c r="AH81" i="5" s="1"/>
  <c r="AG41" i="5"/>
  <c r="AH41" i="5" s="1"/>
  <c r="AG101" i="5"/>
  <c r="AH101" i="5" s="1"/>
  <c r="AG126" i="5"/>
  <c r="AH126" i="5" s="1"/>
  <c r="AG26" i="5"/>
  <c r="AH26" i="5"/>
  <c r="AG156" i="5"/>
  <c r="AH156" i="5" s="1"/>
  <c r="AG71" i="5"/>
  <c r="AH71" i="5" s="1"/>
  <c r="AG112" i="5"/>
  <c r="AH112" i="5" s="1"/>
  <c r="AG143" i="5"/>
  <c r="AH143" i="5"/>
  <c r="AG147" i="5"/>
  <c r="AH147" i="5" s="1"/>
  <c r="AG30" i="5"/>
  <c r="AH30" i="5" s="1"/>
  <c r="AG180" i="5"/>
  <c r="AH180" i="5" s="1"/>
  <c r="AG134" i="5"/>
  <c r="AH134" i="5" s="1"/>
  <c r="AG56" i="5"/>
  <c r="AH56" i="5" s="1"/>
  <c r="AG150" i="5"/>
  <c r="AH150" i="5" s="1"/>
  <c r="AG167" i="5"/>
  <c r="AH167" i="5" s="1"/>
  <c r="AG104" i="5"/>
  <c r="AH104" i="5" s="1"/>
  <c r="AI141" i="5"/>
  <c r="AJ141" i="5" s="1"/>
  <c r="G141" i="5" s="1"/>
  <c r="AI114" i="5"/>
  <c r="AJ114" i="5" s="1"/>
  <c r="G114" i="5" s="1"/>
  <c r="AG192" i="5"/>
  <c r="AH192" i="5" s="1"/>
  <c r="AG181" i="5"/>
  <c r="AH181" i="5" s="1"/>
  <c r="AI49" i="5"/>
  <c r="AJ49" i="5" s="1"/>
  <c r="G49" i="5" s="1"/>
  <c r="AG135" i="5"/>
  <c r="AH135" i="5" s="1"/>
  <c r="AG132" i="5"/>
  <c r="AH132" i="5" s="1"/>
  <c r="AG58" i="5"/>
  <c r="AH58" i="5" s="1"/>
  <c r="AG3" i="5"/>
  <c r="AH3" i="5"/>
  <c r="AG85" i="5"/>
  <c r="AH85" i="5" s="1"/>
  <c r="AG47" i="5"/>
  <c r="AH47" i="5" s="1"/>
  <c r="AG189" i="5"/>
  <c r="AH189" i="5" s="1"/>
  <c r="AI116" i="5"/>
  <c r="AJ116" i="5" s="1"/>
  <c r="G116" i="5" s="1"/>
  <c r="AG65" i="5"/>
  <c r="AH65" i="5" s="1"/>
  <c r="AG97" i="5"/>
  <c r="AH97" i="5" s="1"/>
  <c r="AI45" i="5"/>
  <c r="AJ45" i="5" s="1"/>
  <c r="G45" i="5" s="1"/>
  <c r="AG51" i="5"/>
  <c r="AH51" i="5" s="1"/>
  <c r="AG200" i="5"/>
  <c r="AH200" i="5" s="1"/>
  <c r="AG91" i="5"/>
  <c r="AH91" i="5" s="1"/>
  <c r="AG82" i="5"/>
  <c r="AH82" i="5" s="1"/>
  <c r="AG36" i="5"/>
  <c r="AH36" i="5" s="1"/>
  <c r="AG74" i="5"/>
  <c r="AH74" i="5" s="1"/>
  <c r="AG90" i="5"/>
  <c r="AH90" i="5" s="1"/>
  <c r="AG187" i="5"/>
  <c r="AH187" i="5" s="1"/>
  <c r="AI7" i="5"/>
  <c r="AJ7" i="5" s="1"/>
  <c r="G7" i="5" s="1"/>
  <c r="AG123" i="5"/>
  <c r="AH123" i="5" s="1"/>
  <c r="AG63" i="5"/>
  <c r="AH63" i="5" s="1"/>
  <c r="AG105" i="5"/>
  <c r="AH105" i="5" s="1"/>
  <c r="AG148" i="5"/>
  <c r="AH148" i="5" s="1"/>
  <c r="AH96" i="5"/>
  <c r="AG96" i="5"/>
  <c r="AJ118" i="5" l="1"/>
  <c r="G118" i="5" s="1"/>
  <c r="AJ77" i="5"/>
  <c r="G77" i="5" s="1"/>
  <c r="AI144" i="5"/>
  <c r="AJ144" i="5" s="1"/>
  <c r="G144" i="5" s="1"/>
  <c r="AJ62" i="5"/>
  <c r="G62" i="5" s="1"/>
  <c r="AI194" i="5"/>
  <c r="AJ194" i="5"/>
  <c r="G194" i="5" s="1"/>
  <c r="AI140" i="5"/>
  <c r="AJ140" i="5" s="1"/>
  <c r="G140" i="5" s="1"/>
  <c r="AI145" i="5"/>
  <c r="AJ145" i="5" s="1"/>
  <c r="G145" i="5" s="1"/>
  <c r="AJ99" i="5"/>
  <c r="G99" i="5" s="1"/>
  <c r="AI154" i="5"/>
  <c r="AJ154" i="5"/>
  <c r="G154" i="5" s="1"/>
  <c r="AI146" i="5"/>
  <c r="AJ146" i="5" s="1"/>
  <c r="G146" i="5" s="1"/>
  <c r="AI106" i="5"/>
  <c r="AJ106" i="5" s="1"/>
  <c r="G106" i="5" s="1"/>
  <c r="AJ54" i="5"/>
  <c r="G54" i="5" s="1"/>
  <c r="AI205" i="5"/>
  <c r="AJ205" i="5" s="1"/>
  <c r="G205" i="5" s="1"/>
  <c r="AI95" i="5"/>
  <c r="AJ95" i="5" s="1"/>
  <c r="G95" i="5" s="1"/>
  <c r="AI60" i="5"/>
  <c r="AJ60" i="5" s="1"/>
  <c r="G60" i="5" s="1"/>
  <c r="AI169" i="5"/>
  <c r="AJ169" i="5" s="1"/>
  <c r="G169" i="5" s="1"/>
  <c r="AJ55" i="5"/>
  <c r="G55" i="5" s="1"/>
  <c r="AJ79" i="5"/>
  <c r="G79" i="5" s="1"/>
  <c r="AI18" i="5"/>
  <c r="AJ18" i="5"/>
  <c r="G18" i="5" s="1"/>
  <c r="AJ13" i="5"/>
  <c r="G13" i="5" s="1"/>
  <c r="AI202" i="5"/>
  <c r="AJ202" i="5" s="1"/>
  <c r="G202" i="5" s="1"/>
  <c r="AI14" i="5"/>
  <c r="AJ14" i="5" s="1"/>
  <c r="G14" i="5" s="1"/>
  <c r="AI10" i="5"/>
  <c r="AJ10" i="5"/>
  <c r="G10" i="5" s="1"/>
  <c r="AI137" i="5"/>
  <c r="AJ137" i="5" s="1"/>
  <c r="G137" i="5" s="1"/>
  <c r="AI61" i="5"/>
  <c r="AJ61" i="5" s="1"/>
  <c r="G61" i="5" s="1"/>
  <c r="AI67" i="5"/>
  <c r="AJ67" i="5" s="1"/>
  <c r="G67" i="5" s="1"/>
  <c r="AI190" i="5"/>
  <c r="AJ190" i="5" s="1"/>
  <c r="G190" i="5" s="1"/>
  <c r="AI84" i="5"/>
  <c r="AJ84" i="5" s="1"/>
  <c r="G84" i="5" s="1"/>
  <c r="AJ159" i="5"/>
  <c r="G159" i="5" s="1"/>
  <c r="AI124" i="5"/>
  <c r="AJ124" i="5"/>
  <c r="G124" i="5" s="1"/>
  <c r="AI101" i="5"/>
  <c r="AJ101" i="5" s="1"/>
  <c r="G101" i="5" s="1"/>
  <c r="AI65" i="5"/>
  <c r="AJ65" i="5" s="1"/>
  <c r="G65" i="5" s="1"/>
  <c r="AI192" i="5"/>
  <c r="AJ192" i="5"/>
  <c r="G192" i="5" s="1"/>
  <c r="AI70" i="5"/>
  <c r="AJ70" i="5" s="1"/>
  <c r="G70" i="5" s="1"/>
  <c r="AI66" i="5"/>
  <c r="AJ66" i="5"/>
  <c r="G66" i="5" s="1"/>
  <c r="AI157" i="5"/>
  <c r="AJ157" i="5" s="1"/>
  <c r="G157" i="5" s="1"/>
  <c r="AI189" i="5"/>
  <c r="AJ189" i="5"/>
  <c r="G189" i="5" s="1"/>
  <c r="AI23" i="5"/>
  <c r="AJ23" i="5" s="1"/>
  <c r="G23" i="5" s="1"/>
  <c r="AI5" i="5"/>
  <c r="AJ5" i="5" s="1"/>
  <c r="G5" i="5" s="1"/>
  <c r="AI8" i="5"/>
  <c r="AJ8" i="5"/>
  <c r="G8" i="5" s="1"/>
  <c r="AI198" i="5"/>
  <c r="AJ198" i="5" s="1"/>
  <c r="G198" i="5" s="1"/>
  <c r="AI167" i="5"/>
  <c r="AJ167" i="5" s="1"/>
  <c r="G167" i="5" s="1"/>
  <c r="AI11" i="5"/>
  <c r="AJ11" i="5" s="1"/>
  <c r="G11" i="5" s="1"/>
  <c r="AI19" i="5"/>
  <c r="AJ19" i="5" s="1"/>
  <c r="G19" i="5" s="1"/>
  <c r="AI104" i="5"/>
  <c r="AJ104" i="5" s="1"/>
  <c r="G104" i="5" s="1"/>
  <c r="AI158" i="5"/>
  <c r="AJ158" i="5" s="1"/>
  <c r="G158" i="5" s="1"/>
  <c r="AI29" i="5"/>
  <c r="AJ29" i="5" s="1"/>
  <c r="G29" i="5" s="1"/>
  <c r="AI125" i="5"/>
  <c r="AJ125" i="5" s="1"/>
  <c r="G125" i="5" s="1"/>
  <c r="AI156" i="5"/>
  <c r="AJ156" i="5"/>
  <c r="G156" i="5" s="1"/>
  <c r="AI58" i="5"/>
  <c r="AJ58" i="5" s="1"/>
  <c r="G58" i="5" s="1"/>
  <c r="AI183" i="5"/>
  <c r="AJ183" i="5" s="1"/>
  <c r="G183" i="5" s="1"/>
  <c r="AI177" i="5"/>
  <c r="AJ177" i="5" s="1"/>
  <c r="G177" i="5" s="1"/>
  <c r="AI91" i="5"/>
  <c r="AJ91" i="5" s="1"/>
  <c r="G91" i="5" s="1"/>
  <c r="AI164" i="5"/>
  <c r="AJ164" i="5" s="1"/>
  <c r="G164" i="5" s="1"/>
  <c r="AI110" i="5"/>
  <c r="AJ110" i="5" s="1"/>
  <c r="G110" i="5" s="1"/>
  <c r="AI130" i="5"/>
  <c r="AJ130" i="5" s="1"/>
  <c r="G130" i="5" s="1"/>
  <c r="AI200" i="5"/>
  <c r="AJ200" i="5" s="1"/>
  <c r="G200" i="5" s="1"/>
  <c r="AI51" i="5"/>
  <c r="AJ51" i="5" s="1"/>
  <c r="G51" i="5" s="1"/>
  <c r="AI134" i="5"/>
  <c r="AJ134" i="5" s="1"/>
  <c r="G134" i="5" s="1"/>
  <c r="AI180" i="5"/>
  <c r="AJ180" i="5" s="1"/>
  <c r="G180" i="5" s="1"/>
  <c r="AI80" i="5"/>
  <c r="AJ80" i="5" s="1"/>
  <c r="G80" i="5" s="1"/>
  <c r="AI17" i="5"/>
  <c r="AJ17" i="5" s="1"/>
  <c r="G17" i="5" s="1"/>
  <c r="AI133" i="5"/>
  <c r="AJ133" i="5"/>
  <c r="G133" i="5" s="1"/>
  <c r="AI181" i="5"/>
  <c r="AJ181" i="5" s="1"/>
  <c r="G181" i="5" s="1"/>
  <c r="AI112" i="5"/>
  <c r="AJ112" i="5" s="1"/>
  <c r="G112" i="5" s="1"/>
  <c r="AI173" i="5"/>
  <c r="AJ173" i="5" s="1"/>
  <c r="G173" i="5" s="1"/>
  <c r="AI36" i="5"/>
  <c r="AJ36" i="5" s="1"/>
  <c r="G36" i="5" s="1"/>
  <c r="AI85" i="5"/>
  <c r="AJ85" i="5" s="1"/>
  <c r="G85" i="5" s="1"/>
  <c r="AI147" i="5"/>
  <c r="AJ147" i="5" s="1"/>
  <c r="G147" i="5" s="1"/>
  <c r="AI68" i="5"/>
  <c r="AJ68" i="5" s="1"/>
  <c r="G68" i="5" s="1"/>
  <c r="AI123" i="5"/>
  <c r="AJ123" i="5" s="1"/>
  <c r="G123" i="5" s="1"/>
  <c r="AI3" i="5"/>
  <c r="AJ3" i="5" s="1"/>
  <c r="G3" i="5" s="1"/>
  <c r="AI46" i="5"/>
  <c r="AJ46" i="5" s="1"/>
  <c r="G46" i="5" s="1"/>
  <c r="AI48" i="5"/>
  <c r="AJ48" i="5" s="1"/>
  <c r="G48" i="5" s="1"/>
  <c r="AI143" i="5"/>
  <c r="AJ143" i="5" s="1"/>
  <c r="G143" i="5" s="1"/>
  <c r="AI88" i="5"/>
  <c r="AJ88" i="5"/>
  <c r="G88" i="5" s="1"/>
  <c r="AI97" i="5"/>
  <c r="AJ97" i="5"/>
  <c r="G97" i="5" s="1"/>
  <c r="AI74" i="5"/>
  <c r="AJ74" i="5" s="1"/>
  <c r="G74" i="5" s="1"/>
  <c r="AI83" i="5"/>
  <c r="AJ83" i="5" s="1"/>
  <c r="G83" i="5" s="1"/>
  <c r="AI12" i="5"/>
  <c r="AJ12" i="5" s="1"/>
  <c r="G12" i="5" s="1"/>
  <c r="AI63" i="5"/>
  <c r="AJ63" i="5" s="1"/>
  <c r="G63" i="5" s="1"/>
  <c r="AI162" i="5"/>
  <c r="AJ162" i="5" s="1"/>
  <c r="G162" i="5" s="1"/>
  <c r="AI37" i="5"/>
  <c r="AJ37" i="5"/>
  <c r="AI41" i="5"/>
  <c r="AJ41" i="5" s="1"/>
  <c r="AI9" i="5"/>
  <c r="AJ9" i="5" s="1"/>
  <c r="G9" i="5" s="1"/>
  <c r="AI21" i="5"/>
  <c r="AJ21" i="5" s="1"/>
  <c r="G21" i="5" s="1"/>
  <c r="AI81" i="5"/>
  <c r="AJ81" i="5" s="1"/>
  <c r="G81" i="5" s="1"/>
  <c r="AI204" i="5"/>
  <c r="AJ204" i="5" s="1"/>
  <c r="G204" i="5" s="1"/>
  <c r="AI87" i="5"/>
  <c r="AJ87" i="5"/>
  <c r="G87" i="5" s="1"/>
  <c r="AI203" i="5"/>
  <c r="AJ203" i="5" s="1"/>
  <c r="G203" i="5" s="1"/>
  <c r="AI132" i="5"/>
  <c r="AJ132" i="5" s="1"/>
  <c r="G132" i="5" s="1"/>
  <c r="AI76" i="5"/>
  <c r="AJ76" i="5" s="1"/>
  <c r="G76" i="5" s="1"/>
  <c r="AI108" i="5"/>
  <c r="AJ108" i="5"/>
  <c r="G108" i="5" s="1"/>
  <c r="AI187" i="5"/>
  <c r="AJ187" i="5" s="1"/>
  <c r="G187" i="5" s="1"/>
  <c r="AI135" i="5"/>
  <c r="AJ135" i="5"/>
  <c r="G135" i="5" s="1"/>
  <c r="AI150" i="5"/>
  <c r="AJ150" i="5" s="1"/>
  <c r="G150" i="5" s="1"/>
  <c r="AI71" i="5"/>
  <c r="AJ71" i="5" s="1"/>
  <c r="G71" i="5" s="1"/>
  <c r="AI34" i="5"/>
  <c r="AJ34" i="5"/>
  <c r="G34" i="5" s="1"/>
  <c r="AI176" i="5"/>
  <c r="AJ176" i="5"/>
  <c r="G176" i="5" s="1"/>
  <c r="AI119" i="5"/>
  <c r="AJ119" i="5" s="1"/>
  <c r="G119" i="5" s="1"/>
  <c r="AI111" i="5"/>
  <c r="AJ111" i="5" s="1"/>
  <c r="G111" i="5" s="1"/>
  <c r="AI90" i="5"/>
  <c r="AJ90" i="5" s="1"/>
  <c r="G90" i="5" s="1"/>
  <c r="AI56" i="5"/>
  <c r="AJ56" i="5" s="1"/>
  <c r="G56" i="5" s="1"/>
  <c r="AI115" i="5"/>
  <c r="AJ115" i="5"/>
  <c r="G115" i="5" s="1"/>
  <c r="AI188" i="5"/>
  <c r="AJ188" i="5"/>
  <c r="G188" i="5" s="1"/>
  <c r="AI26" i="5"/>
  <c r="AJ26" i="5"/>
  <c r="G26" i="5" s="1"/>
  <c r="AI131" i="5"/>
  <c r="AJ131" i="5" s="1"/>
  <c r="G131" i="5" s="1"/>
  <c r="AI20" i="5"/>
  <c r="AJ20" i="5" s="1"/>
  <c r="G20" i="5" s="1"/>
  <c r="AI42" i="5"/>
  <c r="AJ42" i="5"/>
  <c r="G42" i="5" s="1"/>
  <c r="AI96" i="5"/>
  <c r="AJ96" i="5" s="1"/>
  <c r="G96" i="5" s="1"/>
  <c r="AI148" i="5"/>
  <c r="AJ148" i="5" s="1"/>
  <c r="G148" i="5" s="1"/>
  <c r="AI82" i="5"/>
  <c r="AJ82" i="5" s="1"/>
  <c r="G82" i="5" s="1"/>
  <c r="AI30" i="5"/>
  <c r="AJ30" i="5" s="1"/>
  <c r="G30" i="5" s="1"/>
  <c r="AI126" i="5"/>
  <c r="AJ126" i="5" s="1"/>
  <c r="G126" i="5" s="1"/>
  <c r="AI193" i="5"/>
  <c r="AJ193" i="5" s="1"/>
  <c r="G193" i="5" s="1"/>
  <c r="AI152" i="5"/>
  <c r="AJ152" i="5" s="1"/>
  <c r="G152" i="5" s="1"/>
  <c r="AI78" i="5"/>
  <c r="AJ78" i="5" s="1"/>
  <c r="G78" i="5" s="1"/>
  <c r="AI105" i="5"/>
  <c r="AJ105" i="5"/>
  <c r="G105" i="5" s="1"/>
  <c r="AI47" i="5"/>
  <c r="AJ47" i="5" s="1"/>
  <c r="G47" i="5" s="1"/>
  <c r="AI122" i="5"/>
  <c r="AJ122" i="5" s="1"/>
  <c r="G122" i="5" s="1"/>
  <c r="AI4" i="5"/>
  <c r="AJ4" i="5" s="1"/>
  <c r="G4" i="5" s="1"/>
  <c r="AI35" i="5"/>
  <c r="AJ35" i="5" s="1"/>
  <c r="G35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tc={8278A49C-CA48-4B9E-A4C7-D3C3B4210717}</author>
    <author>tc={F9289217-F4BC-44BF-83BD-C97B885C469A}</author>
    <author>tc={2598AB6E-26AE-45B6-818D-659C44F75D56}</author>
    <author>tc={B5C51F0F-707F-47F6-BFE7-0FDCD97CBFF5}</author>
    <author>tc={DB071A3E-7E37-48F6-B918-B6ADA0F6ABE0}</author>
    <author>tc={05FD1845-B9B2-4660-B894-3D75DA3E5118}</author>
    <author>tc={CCAF0BFF-64E6-4794-A4B2-88224193C553}</author>
    <author>tc={F83FFEEC-79B4-42B6-8BAD-327A4384CA6C}</author>
  </authors>
  <commentList>
    <comment ref="AK1" authorId="0" shapeId="0" xr:uid="{8278A49C-CA48-4B9E-A4C7-D3C3B4210717}">
      <text>
        <t>[Threaded comment]
Your version of Excel allows you to read this threaded comment; however, any edits to it will get removed if the file is opened in a newer version of Excel. Learn more: https://go.microsoft.com/fwlink/?linkid=870924
Comment:
    =+'K:\Guided Pledge\2026\[Stipend cal for 2026.xlsx]2026 forecast'!$I$25</t>
      </text>
    </comment>
    <comment ref="A44" authorId="1" shapeId="0" xr:uid="{F9289217-F4BC-44BF-83BD-C97B885C469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previously 130343</t>
      </text>
    </comment>
    <comment ref="Q72" authorId="2" shapeId="0" xr:uid="{2598AB6E-26AE-45B6-818D-659C44F75D56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year end 2023 there was a significant restricted fund that will be spent in 2024 on the new
annexe building project</t>
      </text>
    </comment>
    <comment ref="G135" authorId="3" shapeId="0" xr:uid="{B5C51F0F-707F-47F6-BFE7-0FDCD97CBFF5}">
      <text>
        <t>[Threaded comment]
Your version of Excel allows you to read this threaded comment; however, any edits to it will get removed if the file is opened in a newer version of Excel. Learn more: https://go.microsoft.com/fwlink/?linkid=870924
Comment:
    August 2022 Methodist circuit fee of £14k deducted from UGP before applying GP limits. Reduced to £9k deduction for 2025
Reply:
    For 2024/25 paying £17,774 circuit fee
Reply:
    Deduction of £10k allowed for in 2027</t>
      </text>
    </comment>
    <comment ref="H135" authorId="4" shapeId="0" xr:uid="{DB071A3E-7E37-48F6-B918-B6ADA0F6ABE0}">
      <text>
        <t>[Threaded comment]
Your version of Excel allows you to read this threaded comment; however, any edits to it will get removed if the file is opened in a newer version of Excel. Learn more: https://go.microsoft.com/fwlink/?linkid=870924
Comment:
    August 2022 Methodist circuit fee of £14k deducted from UGP before applying GP limits. Reduced to £9k deduction for 2025
Reply:
    For 2024/25 paying £17,774 circuit fee</t>
      </text>
    </comment>
    <comment ref="A141" authorId="5" shapeId="0" xr:uid="{05FD1845-B9B2-4660-B894-3D75DA3E5118}">
      <text>
        <t>[Threaded comment]
Your version of Excel allows you to read this threaded comment; however, any edits to it will get removed if the file is opened in a newer version of Excel. Learn more: https://go.microsoft.com/fwlink/?linkid=870924
Comment:
    Renumberd centrally to 130350
Reply:
    Was 130171</t>
      </text>
    </comment>
    <comment ref="A179" authorId="6" shapeId="0" xr:uid="{CCAF0BFF-64E6-4794-A4B2-88224193C553}">
      <text>
        <t>[Threaded comment]
Your version of Excel allows you to read this threaded comment; however, any edits to it will get removed if the file is opened in a newer version of Excel. Learn more: https://go.microsoft.com/fwlink/?linkid=870924
Comment:
    Quoted as either 130172 or 130349 dependent on source</t>
      </text>
    </comment>
    <comment ref="A195" authorId="7" shapeId="0" xr:uid="{F83FFEEC-79B4-42B6-8BAD-327A4384CA6C}">
      <text>
        <t>[Threaded comment]
Your version of Excel allows you to read this threaded comment; however, any edits to it will get removed if the file is opened in a newer version of Excel. Learn more: https://go.microsoft.com/fwlink/?linkid=870924
Comment:
    Now West Weardale 130356</t>
      </text>
    </comment>
  </commentList>
</comments>
</file>

<file path=xl/sharedStrings.xml><?xml version="1.0" encoding="utf-8"?>
<sst xmlns="http://schemas.openxmlformats.org/spreadsheetml/2006/main" count="1084" uniqueCount="462">
  <si>
    <t>INFLATION ASSUMPTION</t>
  </si>
  <si>
    <t>MINISTRY</t>
  </si>
  <si>
    <t>Full Time Clergy</t>
  </si>
  <si>
    <t>DEPRIVATION</t>
  </si>
  <si>
    <t>IMD Score</t>
  </si>
  <si>
    <t>PEOPLE</t>
  </si>
  <si>
    <t>Usual Sunday Attendance</t>
  </si>
  <si>
    <t>Electoral Roll</t>
  </si>
  <si>
    <t>Parish Population</t>
  </si>
  <si>
    <t>Auckland St Helen</t>
  </si>
  <si>
    <t>Bishop Auckland</t>
  </si>
  <si>
    <t>Byers Green</t>
  </si>
  <si>
    <t>Coundon</t>
  </si>
  <si>
    <t>Croxdale</t>
  </si>
  <si>
    <t>Eldon</t>
  </si>
  <si>
    <t>Etherley</t>
  </si>
  <si>
    <t>Great Aycliffe</t>
  </si>
  <si>
    <t>Hamsterley</t>
  </si>
  <si>
    <t>Merrington</t>
  </si>
  <si>
    <t>Shildon</t>
  </si>
  <si>
    <t>Spennymoor</t>
  </si>
  <si>
    <t>Tudhoe</t>
  </si>
  <si>
    <t>Tudhoe Grange</t>
  </si>
  <si>
    <t>Whitworth</t>
  </si>
  <si>
    <t>Witton le Wear</t>
  </si>
  <si>
    <t>Unrestricted income plus 10% restricted income</t>
  </si>
  <si>
    <t>Unrestricted reserves plus 10% restricted reserves</t>
  </si>
  <si>
    <t>Deanery</t>
  </si>
  <si>
    <t>Archdeaconry</t>
  </si>
  <si>
    <t>Parish</t>
  </si>
  <si>
    <t>Woodhouse Close CD</t>
  </si>
  <si>
    <t>Barnard Castle w Whorlton</t>
  </si>
  <si>
    <t>Cockfield</t>
  </si>
  <si>
    <t>Eggleston</t>
  </si>
  <si>
    <t>Evenwood</t>
  </si>
  <si>
    <t>Forest &amp; Frith</t>
  </si>
  <si>
    <t>Gainford</t>
  </si>
  <si>
    <t>Ingleton</t>
  </si>
  <si>
    <t>Lynesack</t>
  </si>
  <si>
    <t>Middleton in Teesdale</t>
  </si>
  <si>
    <t>Staindrop</t>
  </si>
  <si>
    <t>Winston</t>
  </si>
  <si>
    <t>Birtley</t>
  </si>
  <si>
    <t>Burnmoor</t>
  </si>
  <si>
    <t>Chester le Street</t>
  </si>
  <si>
    <t>Chilton Moor</t>
  </si>
  <si>
    <t>East Rainton</t>
  </si>
  <si>
    <t>Fatfield St George</t>
  </si>
  <si>
    <t>Herrington, Penshaw &amp; Shiney Row</t>
  </si>
  <si>
    <t>Hetton-Lyons w Eppleton</t>
  </si>
  <si>
    <t>Houghton le Spring</t>
  </si>
  <si>
    <t>Lumley</t>
  </si>
  <si>
    <t>Oxclose</t>
  </si>
  <si>
    <t>Usworth Holy Trinity</t>
  </si>
  <si>
    <t>Washington</t>
  </si>
  <si>
    <t>West Pelton</t>
  </si>
  <si>
    <t>West Rainton</t>
  </si>
  <si>
    <t>Blackwell All Saints &amp; Salutation</t>
  </si>
  <si>
    <t>Cockerton</t>
  </si>
  <si>
    <t>Darlington Holy Trinity</t>
  </si>
  <si>
    <t>Darlington St Cuthbert</t>
  </si>
  <si>
    <t>Darlington St Hilda &amp; St Columba</t>
  </si>
  <si>
    <t>Darlington St James</t>
  </si>
  <si>
    <t>Darlington St Mark w St Paul</t>
  </si>
  <si>
    <t>Darlington St Matthew w St Luke</t>
  </si>
  <si>
    <t xml:space="preserve">Dinsdale </t>
  </si>
  <si>
    <t>Haughton le Skerne</t>
  </si>
  <si>
    <t>Heighington</t>
  </si>
  <si>
    <t>Hurworth</t>
  </si>
  <si>
    <t>Middleton St George</t>
  </si>
  <si>
    <t>Sadberge</t>
  </si>
  <si>
    <t>Sockburn / Girsby</t>
  </si>
  <si>
    <t>Bearpark</t>
  </si>
  <si>
    <t>Belmont</t>
  </si>
  <si>
    <t>Brancepeth</t>
  </si>
  <si>
    <t>Brandon</t>
  </si>
  <si>
    <t>Chilton</t>
  </si>
  <si>
    <t>Cornforth &amp; Ferryhill</t>
  </si>
  <si>
    <t>Coxhoe</t>
  </si>
  <si>
    <t>Durham St Cuthbert w St Aidan</t>
  </si>
  <si>
    <t>Durham St Giles</t>
  </si>
  <si>
    <t>Durham St Margaret</t>
  </si>
  <si>
    <t>Durham St Nicholas</t>
  </si>
  <si>
    <t>Durham St Oswald</t>
  </si>
  <si>
    <t>Esh &amp; Hamsteels</t>
  </si>
  <si>
    <t>Kimblesworth</t>
  </si>
  <si>
    <t>Langley Park</t>
  </si>
  <si>
    <t>Neville's Cross St John</t>
  </si>
  <si>
    <t>Pittington St Laurence</t>
  </si>
  <si>
    <t xml:space="preserve">Shadforth  </t>
  </si>
  <si>
    <t>Sherburn</t>
  </si>
  <si>
    <t>Shincliffe</t>
  </si>
  <si>
    <t>Ushaw Moor</t>
  </si>
  <si>
    <t>Waterhouses</t>
  </si>
  <si>
    <t>Witton Gilbert &amp; Sacriston</t>
  </si>
  <si>
    <t>Easington</t>
  </si>
  <si>
    <t>Dalton le Dale</t>
  </si>
  <si>
    <t>Easington Colliery</t>
  </si>
  <si>
    <t>Hawthorn</t>
  </si>
  <si>
    <t>Horden</t>
  </si>
  <si>
    <t>Murton</t>
  </si>
  <si>
    <t>New Seaham</t>
  </si>
  <si>
    <t>Peterlee</t>
  </si>
  <si>
    <t>Seaham St Mary the Virgin</t>
  </si>
  <si>
    <t>Seaham Harbour &amp; Dawdon</t>
  </si>
  <si>
    <t>South Hetton</t>
  </si>
  <si>
    <t>Wingate w Hutton Henry</t>
  </si>
  <si>
    <t>Gateshead</t>
  </si>
  <si>
    <t>Bensham &amp; Teams</t>
  </si>
  <si>
    <t>Eighton Banks</t>
  </si>
  <si>
    <t>Felling</t>
  </si>
  <si>
    <t>Gateshead Fell</t>
  </si>
  <si>
    <t>Gateshead St Helen</t>
  </si>
  <si>
    <t>Harlow Green</t>
  </si>
  <si>
    <t>Heworth St Mary</t>
  </si>
  <si>
    <t>Lamesley</t>
  </si>
  <si>
    <t>Leam Lane</t>
  </si>
  <si>
    <t>Windy Nook St Alban</t>
  </si>
  <si>
    <t>Chopwell</t>
  </si>
  <si>
    <t>Dunston St Nicholas w Christ Church</t>
  </si>
  <si>
    <t>Greenside</t>
  </si>
  <si>
    <t>High Spen &amp; Rowlands Gill</t>
  </si>
  <si>
    <t>Hillside</t>
  </si>
  <si>
    <t>Ryton</t>
  </si>
  <si>
    <t>Whickham</t>
  </si>
  <si>
    <t>Winlaton</t>
  </si>
  <si>
    <t>Hartlepool</t>
  </si>
  <si>
    <t>Elwick Hall</t>
  </si>
  <si>
    <t>Greatham</t>
  </si>
  <si>
    <t>Hart</t>
  </si>
  <si>
    <t>Hartlepool Holy Trinity</t>
  </si>
  <si>
    <t>Hartlepool St Aidan &amp; St Columba</t>
  </si>
  <si>
    <t>Hartlepool St Hilda</t>
  </si>
  <si>
    <t>Hartlepool St Luke</t>
  </si>
  <si>
    <t>Hartlepool St Oswald</t>
  </si>
  <si>
    <t>Hartlepool St Paul</t>
  </si>
  <si>
    <t>Owton Manor</t>
  </si>
  <si>
    <t>Seaton Carew</t>
  </si>
  <si>
    <t>Stranton All Saints</t>
  </si>
  <si>
    <t>Boldon</t>
  </si>
  <si>
    <t>Cleadon</t>
  </si>
  <si>
    <t>Cleadon Park</t>
  </si>
  <si>
    <t>East Boldon</t>
  </si>
  <si>
    <t>Harton St Peter</t>
  </si>
  <si>
    <t>Hebburn St Cuthbert &amp; St Oswald</t>
  </si>
  <si>
    <t>Hebburn St John</t>
  </si>
  <si>
    <t>Hedworth</t>
  </si>
  <si>
    <t>Horsley Hill St Lawrence the Martyr</t>
  </si>
  <si>
    <t>Jarrow Grange</t>
  </si>
  <si>
    <t>Jarrow &amp; Simonside</t>
  </si>
  <si>
    <t>Rekendyke</t>
  </si>
  <si>
    <t>South Shields All Saints Team Ministry</t>
  </si>
  <si>
    <t>South Shields St Aidan &amp; St Stephen</t>
  </si>
  <si>
    <t>South Shields St Hilda w St Thomas</t>
  </si>
  <si>
    <t>South Westoe</t>
  </si>
  <si>
    <t>Whitburn</t>
  </si>
  <si>
    <t>Benfieldside</t>
  </si>
  <si>
    <t>Burnopfield &amp; Dipton</t>
  </si>
  <si>
    <t>Castleside</t>
  </si>
  <si>
    <t>Harelaw &amp; Annfield Plain</t>
  </si>
  <si>
    <t>Consett</t>
  </si>
  <si>
    <t>Ebchester</t>
  </si>
  <si>
    <t>Lanchester &amp; Burnhope</t>
  </si>
  <si>
    <t>Leadgate</t>
  </si>
  <si>
    <t>Medomsley</t>
  </si>
  <si>
    <t>Stanley &amp; South Moor</t>
  </si>
  <si>
    <t>Tanfield</t>
  </si>
  <si>
    <t>Eastgate</t>
  </si>
  <si>
    <t>Hunwick</t>
  </si>
  <si>
    <t>Satley</t>
  </si>
  <si>
    <t>Thornley</t>
  </si>
  <si>
    <t>Tow Law</t>
  </si>
  <si>
    <t>Willington &amp; Sunnybrow</t>
  </si>
  <si>
    <t>Wolsingham</t>
  </si>
  <si>
    <t>Billingham</t>
  </si>
  <si>
    <t>Egglescliffe</t>
  </si>
  <si>
    <t>Elton</t>
  </si>
  <si>
    <t>Long Newton</t>
  </si>
  <si>
    <t>Norton St Mary the Virgin</t>
  </si>
  <si>
    <t>Norton St Michael &amp; All Angels</t>
  </si>
  <si>
    <t>Preston on Tees</t>
  </si>
  <si>
    <t>Stockton Christchurch</t>
  </si>
  <si>
    <t>Stockton Country Parish</t>
  </si>
  <si>
    <t>Stockton on Tees Holy Trinity w St Mark</t>
  </si>
  <si>
    <t>Stockton on Tees St Paul</t>
  </si>
  <si>
    <t>Stockton on Tees St Peter</t>
  </si>
  <si>
    <t>Stockton Parish Church</t>
  </si>
  <si>
    <t>Upper Skerne TM</t>
  </si>
  <si>
    <t>Sunderland Minster</t>
  </si>
  <si>
    <t>Bishopwearmouth St Gabriel</t>
  </si>
  <si>
    <t>Bishopwearmouth St Mary Magdalene Millfield</t>
  </si>
  <si>
    <t>Bishopwearmouth St Nicholas</t>
  </si>
  <si>
    <t>Bishopwearmouth The Good Shepherd</t>
  </si>
  <si>
    <t>Grangetown St Aidan</t>
  </si>
  <si>
    <t>Hendon St Ignatius</t>
  </si>
  <si>
    <t>Monkwearmouth TM</t>
  </si>
  <si>
    <t>North Wearside</t>
  </si>
  <si>
    <t>Ryhope</t>
  </si>
  <si>
    <t>Sunderland St Matthew &amp; St Wilfrid</t>
  </si>
  <si>
    <t>Sunderland St Mary, St Thomas &amp; St Oswald</t>
  </si>
  <si>
    <t>Sunderland St Chad</t>
  </si>
  <si>
    <t>Sunderland St Mary &amp; St Peter</t>
  </si>
  <si>
    <t>Parish Code</t>
  </si>
  <si>
    <t>Crook, St Catherine</t>
  </si>
  <si>
    <t>Newbottle, St Matthew</t>
  </si>
  <si>
    <t>Pelton, Holy Trinity</t>
  </si>
  <si>
    <t>Shotton Colliery, St Saviours</t>
  </si>
  <si>
    <t>Kelloe, St Helen's</t>
  </si>
  <si>
    <t>Coniscliffe, St Marys and St Edwins</t>
  </si>
  <si>
    <t>Swalwell</t>
  </si>
  <si>
    <t>Vine Church Wynyard</t>
  </si>
  <si>
    <t>Haswell</t>
  </si>
  <si>
    <t>Wheatley Hill &amp; Thornley</t>
  </si>
  <si>
    <t>Factor Weighting</t>
  </si>
  <si>
    <t>PARISH SHARE TARGET (Gross GP)</t>
  </si>
  <si>
    <t>Weighted Gross GP</t>
  </si>
  <si>
    <t>Unrestricted Income + 10% of Restricted Income</t>
  </si>
  <si>
    <t>Total per Base Data</t>
  </si>
  <si>
    <t>Unrestricted Reserves (UR Cash &amp; Investments)( + 10% of Restricted</t>
  </si>
  <si>
    <t>Weighting in Calculation</t>
  </si>
  <si>
    <t>GP FINANCE FACTORS</t>
  </si>
  <si>
    <t>CALULATION FACTORS</t>
  </si>
  <si>
    <t>Newton Hall LEP</t>
  </si>
  <si>
    <t>Uncapped Guided pledge - UGP</t>
  </si>
  <si>
    <t>Factor to be applied to Base Data</t>
  </si>
  <si>
    <t xml:space="preserve">Blaydon   </t>
  </si>
  <si>
    <t>Escomb &amp; Witton Park</t>
  </si>
  <si>
    <t>Darlington St Herbert and St John</t>
  </si>
  <si>
    <t>Stanhope, Frosterley &amp; Rookhope</t>
  </si>
  <si>
    <t>Blackhall, Castle Eden &amp; Hesleden</t>
  </si>
  <si>
    <t>Unrestricted reserves 2023 (per PFR)</t>
  </si>
  <si>
    <t>Restricted reserves 2023 (per PFR)</t>
  </si>
  <si>
    <t>130029i</t>
  </si>
  <si>
    <t>Pallion St. Luke (Millfield and Pallion)</t>
  </si>
  <si>
    <t>Parish Legal Name</t>
  </si>
  <si>
    <t>Parish Local Name</t>
  </si>
  <si>
    <t>Restricted income 2023 (per PFR)</t>
  </si>
  <si>
    <t>AUCKLAND</t>
  </si>
  <si>
    <t>STOCKTON</t>
  </si>
  <si>
    <t>Durham Dales</t>
  </si>
  <si>
    <t>Unrestricted income 2023 (per PFR) if not then used 2022</t>
  </si>
  <si>
    <t>Bowburn (Cassop-cum-Quarrington )</t>
  </si>
  <si>
    <t>Unrestricted income 2024 (per PFR) if not then used 2023</t>
  </si>
  <si>
    <t>Restricted reserves 2024 (per PFR)</t>
  </si>
  <si>
    <t>Restricted income 2024 (per PFR)</t>
  </si>
  <si>
    <t xml:space="preserve"> 2026 Guided pledge</t>
  </si>
  <si>
    <t xml:space="preserve">GP Max set at 200% of Ministry cost </t>
  </si>
  <si>
    <t>Unrestricted reserves 2024 (per PFR) if not then use 2023</t>
  </si>
  <si>
    <t>West Weardale</t>
  </si>
  <si>
    <t>WEARMOUTH</t>
  </si>
  <si>
    <t>Unrestricted income 2025 (per PFR) if not then used 2024</t>
  </si>
  <si>
    <t>Unrestricted reserves 2025 (per PFR) if not then use 2024</t>
  </si>
  <si>
    <t>Restricted reserves 2025 (per PFR)</t>
  </si>
  <si>
    <t>Restricted income 2025 (per PFR)</t>
  </si>
  <si>
    <t xml:space="preserve"> 2027 Guided pledge</t>
  </si>
  <si>
    <t xml:space="preserve">2025 Usual Sunday Attendance </t>
  </si>
  <si>
    <t>Chester le Street and Houghton</t>
  </si>
  <si>
    <t>Parish population per national church info used for 2027 (2025 census)</t>
  </si>
  <si>
    <t>2026 Revised Pledge</t>
  </si>
  <si>
    <t>Guided pledge - clergy 2027</t>
  </si>
  <si>
    <t>Guided pledge - finance 2027</t>
  </si>
  <si>
    <t>Guided pledge - IMD 2027</t>
  </si>
  <si>
    <t>Guided pledge - people 2027</t>
  </si>
  <si>
    <t>Auckland: St Helen</t>
  </si>
  <si>
    <t>Bensham and Teams</t>
  </si>
  <si>
    <t>Bishopwearmouth: St Gabriel</t>
  </si>
  <si>
    <t>Bishopwearmouth Millfield: St Mary Magdalene</t>
  </si>
  <si>
    <t>Bishopwearmouth: St Nicholas</t>
  </si>
  <si>
    <t>Bishopwearmouth: The Good Shepherd</t>
  </si>
  <si>
    <t>Blackhall</t>
  </si>
  <si>
    <t>Blackwell: All Saints &amp; Salutation</t>
  </si>
  <si>
    <t>Blaydon</t>
  </si>
  <si>
    <t>Cassop-cum-Quarrington</t>
  </si>
  <si>
    <t>Chester-le-Street</t>
  </si>
  <si>
    <t>Chilton, St Aidan</t>
  </si>
  <si>
    <t>Cleadon: All Saints</t>
  </si>
  <si>
    <t>Coniscliffe</t>
  </si>
  <si>
    <t>Cornforth and FerryHill</t>
  </si>
  <si>
    <t>Crook</t>
  </si>
  <si>
    <t>Darlington: Holy Trinity</t>
  </si>
  <si>
    <t>Darlington: St Cuthbert</t>
  </si>
  <si>
    <t>St Herbert and St John Darlington</t>
  </si>
  <si>
    <t>Darlington: St Hilda &amp; St Columba</t>
  </si>
  <si>
    <t>Darlington: St James</t>
  </si>
  <si>
    <t>Darlington: St Mark w St Paul</t>
  </si>
  <si>
    <t>Darlington: St Matthew &amp; St Luke</t>
  </si>
  <si>
    <t>Dinsdale</t>
  </si>
  <si>
    <t>Dunston: St Nicholas w Christ Church</t>
  </si>
  <si>
    <t>Durham: Saint Cuthbert and Saint Aidan</t>
  </si>
  <si>
    <t>Durham: St Giles</t>
  </si>
  <si>
    <t>Durham: St Margaret of Antioch</t>
  </si>
  <si>
    <t>Durham: St Nicholas</t>
  </si>
  <si>
    <t>Durham: St Oswald</t>
  </si>
  <si>
    <t>Escomb and Witton Park</t>
  </si>
  <si>
    <t>Esh and Hamsteels</t>
  </si>
  <si>
    <t>Fatfield</t>
  </si>
  <si>
    <t>Gateshead Team Ministry</t>
  </si>
  <si>
    <t>Gateshead: St George</t>
  </si>
  <si>
    <t>Gateshead: St Helen</t>
  </si>
  <si>
    <t>Grangetown</t>
  </si>
  <si>
    <t>Hartlepool: Holy Trinity</t>
  </si>
  <si>
    <t>Hartlepool: St Aidan &amp; St Columba</t>
  </si>
  <si>
    <t>Hartlepool: St Hilda</t>
  </si>
  <si>
    <t>Hartlepool: St Luke</t>
  </si>
  <si>
    <t>Hartlepool: St Oswald</t>
  </si>
  <si>
    <t>Hartlepool: St Paul</t>
  </si>
  <si>
    <t>Harton: St Peter</t>
  </si>
  <si>
    <t>Haughton-le-Skerne</t>
  </si>
  <si>
    <t>Hebburn: St. Cuthbert &amp; St Oswald</t>
  </si>
  <si>
    <t>Hebburn: St John</t>
  </si>
  <si>
    <t>Hendon</t>
  </si>
  <si>
    <t>Hetton-Lyons w Eppleton: St Michael &amp; St Nicholas,</t>
  </si>
  <si>
    <t>Heworth: St Mary</t>
  </si>
  <si>
    <t>Hillside (Lobley Hill &amp; Marley Hill)</t>
  </si>
  <si>
    <t>Horsley Hill: St Lawrence the Martyr (South Shields)</t>
  </si>
  <si>
    <t>Houghton-le-Spring</t>
  </si>
  <si>
    <t>Jarrow and Simonside</t>
  </si>
  <si>
    <t>Kelloe</t>
  </si>
  <si>
    <t>Lanchester and Burnhope</t>
  </si>
  <si>
    <t>Middleton-in-Teesdale</t>
  </si>
  <si>
    <t>Middleton: St George</t>
  </si>
  <si>
    <t>Monkwearmouth Team Ministry</t>
  </si>
  <si>
    <t>Murton: Holy Trinity</t>
  </si>
  <si>
    <t>Neville's Cross: St John</t>
  </si>
  <si>
    <t>Newbottle</t>
  </si>
  <si>
    <t>Newton Hall: LEP</t>
  </si>
  <si>
    <t>Norton: St Mary the Virgin</t>
  </si>
  <si>
    <t>Norton: St Michael &amp; All Angels</t>
  </si>
  <si>
    <t>Oxclose: LEP</t>
  </si>
  <si>
    <t>Millfield and Pallion</t>
  </si>
  <si>
    <t>Pelton</t>
  </si>
  <si>
    <t>Pittington: St Laurence</t>
  </si>
  <si>
    <t>Preston-onTees</t>
  </si>
  <si>
    <t>Seaham Harbour and Dawdon</t>
  </si>
  <si>
    <t>Seaham: St. Mary the Virgin</t>
  </si>
  <si>
    <t>Shadforth and Sherburn</t>
  </si>
  <si>
    <t>Shotton</t>
  </si>
  <si>
    <t>Sockburn</t>
  </si>
  <si>
    <t>South Shields: All Saints Team Ministry</t>
  </si>
  <si>
    <t>South Shields: St Aidan &amp;  St Stephen (The Lawe)</t>
  </si>
  <si>
    <t>South Shields: St Hilda w St Thomas</t>
  </si>
  <si>
    <t>Stanley and South Moor</t>
  </si>
  <si>
    <t>Holy Trinity with Saint Mark, Stockton on Tees</t>
  </si>
  <si>
    <t>Stockton-onTees: St Paul</t>
  </si>
  <si>
    <t>Stockton-on-Tees: St Peter</t>
  </si>
  <si>
    <t>Stranton</t>
  </si>
  <si>
    <t>Sunderland: St Chad</t>
  </si>
  <si>
    <t>Sunderland: St Mary &amp; St Peter</t>
  </si>
  <si>
    <t>Sunderland St Mary, St Thomas and St Oswald</t>
  </si>
  <si>
    <t>Saint Matthew's and Saint Wilfrid's Sunderland</t>
  </si>
  <si>
    <t>Upper Skerne</t>
  </si>
  <si>
    <t>Usworth</t>
  </si>
  <si>
    <t>Willington and Sunnybrow</t>
  </si>
  <si>
    <t>Windy Nook: St Alban</t>
  </si>
  <si>
    <t>Witton Gilbert</t>
  </si>
  <si>
    <t>Witton-le-Wear</t>
  </si>
  <si>
    <t>DURHAM</t>
  </si>
  <si>
    <t>SUNDERLAND</t>
  </si>
  <si>
    <t>LANCHESTER</t>
  </si>
  <si>
    <t>GATESHEAD</t>
  </si>
  <si>
    <t>DARLINGTON</t>
  </si>
  <si>
    <t>GATESHEAD, WEST</t>
  </si>
  <si>
    <t>JARROW</t>
  </si>
  <si>
    <t>Cornforth and Ferryhill</t>
  </si>
  <si>
    <t>Harton</t>
  </si>
  <si>
    <t>High Spen and Rowlands Gill</t>
  </si>
  <si>
    <t>Sunderland Saint Mary, Saint Thomas and Saint Oswald</t>
  </si>
  <si>
    <t>St. Helen Auckland</t>
  </si>
  <si>
    <t>Barnard Castle with Whorlton</t>
  </si>
  <si>
    <t>Saint Edmund Bearpark</t>
  </si>
  <si>
    <t>St. Gabriel, Bishopwearmouth</t>
  </si>
  <si>
    <t>St. Mary Magdalene, Bishopwcarmouth Millfield</t>
  </si>
  <si>
    <t>Bishopwearmouth St. Nicholas</t>
  </si>
  <si>
    <t>The Good Shepherd Bishopwearmouth</t>
  </si>
  <si>
    <t>Blackhall, Castle Eden with Hesleden</t>
  </si>
  <si>
    <t>Blackwell All Saints and Salutation</t>
  </si>
  <si>
    <t>St. John the Evangelist Brandon</t>
  </si>
  <si>
    <t>Burnopfield and Dipton</t>
  </si>
  <si>
    <t>Chilton, Saint Aidan</t>
  </si>
  <si>
    <t>St. John Chopwell</t>
  </si>
  <si>
    <t>All Saints Cleadon</t>
  </si>
  <si>
    <t>St. Mark with St. Cuthbert Cleadon Park</t>
  </si>
  <si>
    <t>St. Mary Cockerton</t>
  </si>
  <si>
    <t>Holy Trinity Darlington</t>
  </si>
  <si>
    <t>Darlington St. Cuthbert</t>
  </si>
  <si>
    <t>Saint Herbert and Saint John Darlington</t>
  </si>
  <si>
    <t>Darlington St. Hilda and St. Columba</t>
  </si>
  <si>
    <t>St. James, Albert Hill</t>
  </si>
  <si>
    <t>Darlington St. Mark with St. Paul</t>
  </si>
  <si>
    <t>St. Matthew and St. Luke, Darlington</t>
  </si>
  <si>
    <t>St. Nicholas with Christ Church Dunston</t>
  </si>
  <si>
    <t>Saint Cuthbert and Saint Aidan, Durham</t>
  </si>
  <si>
    <t>St. Giles, Durham</t>
  </si>
  <si>
    <t>St. Margaret Durham</t>
  </si>
  <si>
    <t>St. Nicholas Durham</t>
  </si>
  <si>
    <t>Saint Oswald, Durham</t>
  </si>
  <si>
    <t>St. George, East Boldon</t>
  </si>
  <si>
    <t>All Saints, Eastgate</t>
  </si>
  <si>
    <t>St. John the Baptist Egglescliffe</t>
  </si>
  <si>
    <t>St. Thomas Eighton Banks</t>
  </si>
  <si>
    <t>Christ Church Felling</t>
  </si>
  <si>
    <t>Forest And Frith</t>
  </si>
  <si>
    <t>St. George Gateshead</t>
  </si>
  <si>
    <t>St. Helen Gateshead</t>
  </si>
  <si>
    <t>St. Aidan, Grangetown</t>
  </si>
  <si>
    <t>St. John, Greenside</t>
  </si>
  <si>
    <t>Harelaw and Annfield Plain</t>
  </si>
  <si>
    <t>Gateshead, Harlow Green, St. Ninian</t>
  </si>
  <si>
    <t>Holy Trinity Hartlepool</t>
  </si>
  <si>
    <t>St. Aidan and St. Columba, Hartlepool</t>
  </si>
  <si>
    <t>St. Hilda, Hartlepool</t>
  </si>
  <si>
    <t>St. Luke Hartlepool</t>
  </si>
  <si>
    <t>St. Oswald, Hartlepool</t>
  </si>
  <si>
    <t>St. Paul Hartlepool</t>
  </si>
  <si>
    <t>St. Michael, Hawthorn</t>
  </si>
  <si>
    <t>Hebburn Saint Cuthbert and Saint Oswald</t>
  </si>
  <si>
    <t>St. John Hebburn</t>
  </si>
  <si>
    <t>Saint Michael and Saint Nicholas, Hetton-Lyons with Eppleton</t>
  </si>
  <si>
    <t>Heworth</t>
  </si>
  <si>
    <t>St. Lawrence the Martyr, Horsley Hill (South Shields)</t>
  </si>
  <si>
    <t>St. Andrew, Leam Lane</t>
  </si>
  <si>
    <t>Christ Church Lumley</t>
  </si>
  <si>
    <t>Middleton St. George</t>
  </si>
  <si>
    <t>Monkwearmouth</t>
  </si>
  <si>
    <t>St. John Neville's Cross</t>
  </si>
  <si>
    <t>Christ Church, New Seaham</t>
  </si>
  <si>
    <t>St. Matthew, Newbottle</t>
  </si>
  <si>
    <t>Newton Hall</t>
  </si>
  <si>
    <t>Norton</t>
  </si>
  <si>
    <t>St. Michael and All Angels Norton</t>
  </si>
  <si>
    <t>Owton Manor St. James</t>
  </si>
  <si>
    <t>St. Cuthbert Peterlee</t>
  </si>
  <si>
    <t>Pittington</t>
  </si>
  <si>
    <t>All Saints Preston upon Tees</t>
  </si>
  <si>
    <t>Seaham</t>
  </si>
  <si>
    <t>Holy Trinity, South Hetton</t>
  </si>
  <si>
    <t>All Saints, South Shields</t>
  </si>
  <si>
    <t>South Shields St. Aidan and St. Stephen</t>
  </si>
  <si>
    <t>St. Hilda with St. Thomas, South Shields</t>
  </si>
  <si>
    <t>St. Paul Spennymoor</t>
  </si>
  <si>
    <t>Stanhope, Frosterley and Rookhope</t>
  </si>
  <si>
    <t>St. Paul Stockton-upon-Tees</t>
  </si>
  <si>
    <t>St. Peter Stockton-upon-Tees</t>
  </si>
  <si>
    <t>All Saints, Stranton</t>
  </si>
  <si>
    <t>St. Chad Sunderland</t>
  </si>
  <si>
    <t>Sunderland St. Mary and St. Peter</t>
  </si>
  <si>
    <t>St. Andrew Tudhoe Grange</t>
  </si>
  <si>
    <t>St. Luke Ushaw Moor</t>
  </si>
  <si>
    <t>Wheatley Hill and Thornley</t>
  </si>
  <si>
    <t>St. Alban Heworth</t>
  </si>
  <si>
    <t>Wingate Grange</t>
  </si>
  <si>
    <t>Witton Gilbert and Sacriston</t>
  </si>
  <si>
    <t>Boldon - The Boldons</t>
  </si>
  <si>
    <t>East Boldon - The Boldons</t>
  </si>
  <si>
    <t>Hedworth - The Boldons</t>
  </si>
  <si>
    <t>2026 Clergy per Deanery Plan per Arch Deacons updated JM</t>
  </si>
  <si>
    <t>URes &gt; Ave UnInc 3 years =&gt; Uncap else lower Uncap &amp; 65%Uinc</t>
  </si>
  <si>
    <t>2027 pledge before 200% limit</t>
  </si>
  <si>
    <t>Gateshead St George (Alive Chuch)</t>
  </si>
  <si>
    <t>inverse of IMD2025 score (larger IMD  score means more deprived)</t>
  </si>
  <si>
    <t>GP 2027 - 2006 Offering + Infl</t>
  </si>
  <si>
    <t>2025 Electoral roll updated used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</si>
</sst>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£&quot;#,##0;[Red]\-&quot;£&quot;#,##0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  <numFmt numFmtId="167" formatCode="0.000"/>
    <numFmt numFmtId="168" formatCode="#,##0.00_ ;[Red]\-#,##0.00\ "/>
    <numFmt numFmtId="169" formatCode="0.0"/>
    <numFmt numFmtId="170" formatCode="#,##0.00000_ ;[Red]\-#,##0.00000\ "/>
    <numFmt numFmtId="171" formatCode="#,##0.0000"/>
    <numFmt numFmtId="172" formatCode="&quot;£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166" fontId="3" fillId="0" borderId="0" xfId="1" applyNumberFormat="1" applyFont="1" applyFill="1" applyBorder="1"/>
    <xf numFmtId="3" fontId="3" fillId="0" borderId="0" xfId="0" applyNumberFormat="1" applyFont="1" applyAlignment="1">
      <alignment horizontal="left"/>
    </xf>
    <xf numFmtId="4" fontId="3" fillId="0" borderId="0" xfId="0" applyNumberFormat="1" applyFont="1"/>
    <xf numFmtId="0" fontId="2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6" fontId="0" fillId="0" borderId="0" xfId="0" applyNumberFormat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6" fontId="0" fillId="0" borderId="1" xfId="0" applyNumberFormat="1" applyBorder="1"/>
    <xf numFmtId="165" fontId="3" fillId="0" borderId="1" xfId="0" applyNumberFormat="1" applyFont="1" applyBorder="1" applyAlignment="1">
      <alignment horizontal="center"/>
    </xf>
    <xf numFmtId="166" fontId="3" fillId="0" borderId="1" xfId="1" applyNumberFormat="1" applyFont="1" applyFill="1" applyBorder="1"/>
    <xf numFmtId="3" fontId="0" fillId="0" borderId="0" xfId="0" applyNumberFormat="1"/>
    <xf numFmtId="3" fontId="0" fillId="0" borderId="1" xfId="0" applyNumberFormat="1" applyBorder="1"/>
    <xf numFmtId="167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6" fontId="6" fillId="0" borderId="0" xfId="0" applyNumberFormat="1" applyFont="1"/>
    <xf numFmtId="165" fontId="6" fillId="0" borderId="0" xfId="2" applyNumberFormat="1" applyFont="1" applyFill="1" applyBorder="1"/>
    <xf numFmtId="4" fontId="0" fillId="0" borderId="0" xfId="0" applyNumberFormat="1"/>
    <xf numFmtId="0" fontId="9" fillId="0" borderId="0" xfId="0" applyFont="1" applyAlignment="1">
      <alignment vertical="top" wrapText="1"/>
    </xf>
    <xf numFmtId="169" fontId="9" fillId="0" borderId="0" xfId="0" applyNumberFormat="1" applyFont="1" applyAlignment="1">
      <alignment vertical="top" wrapText="1"/>
    </xf>
    <xf numFmtId="172" fontId="9" fillId="2" borderId="0" xfId="0" applyNumberFormat="1" applyFont="1" applyFill="1" applyAlignment="1">
      <alignment horizontal="right"/>
    </xf>
    <xf numFmtId="1" fontId="10" fillId="0" borderId="0" xfId="3" applyNumberFormat="1" applyFont="1" applyAlignment="1">
      <alignment vertical="top" wrapText="1"/>
    </xf>
    <xf numFmtId="0" fontId="11" fillId="0" borderId="0" xfId="3" applyFont="1" applyAlignment="1">
      <alignment vertical="top" wrapText="1"/>
    </xf>
    <xf numFmtId="0" fontId="11" fillId="2" borderId="0" xfId="3" applyFont="1" applyFill="1" applyAlignment="1">
      <alignment vertical="top" wrapText="1"/>
    </xf>
    <xf numFmtId="172" fontId="11" fillId="2" borderId="0" xfId="0" applyNumberFormat="1" applyFont="1" applyFill="1" applyAlignment="1">
      <alignment horizontal="center" vertical="top" wrapText="1"/>
    </xf>
    <xf numFmtId="172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172" fontId="11" fillId="2" borderId="2" xfId="0" applyNumberFormat="1" applyFont="1" applyFill="1" applyBorder="1" applyAlignment="1">
      <alignment horizontal="center" vertical="top" wrapText="1"/>
    </xf>
    <xf numFmtId="172" fontId="11" fillId="0" borderId="0" xfId="0" applyNumberFormat="1" applyFont="1" applyAlignment="1">
      <alignment vertical="center"/>
    </xf>
    <xf numFmtId="172" fontId="11" fillId="2" borderId="0" xfId="0" applyNumberFormat="1" applyFont="1" applyFill="1" applyAlignment="1">
      <alignment horizontal="right" vertical="top" wrapText="1"/>
    </xf>
    <xf numFmtId="172" fontId="11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1" fontId="5" fillId="2" borderId="0" xfId="3" applyNumberFormat="1" applyFill="1"/>
    <xf numFmtId="1" fontId="9" fillId="2" borderId="0" xfId="3" applyNumberFormat="1" applyFont="1" applyFill="1"/>
    <xf numFmtId="38" fontId="9" fillId="2" borderId="0" xfId="3" applyNumberFormat="1" applyFont="1" applyFill="1"/>
    <xf numFmtId="4" fontId="9" fillId="2" borderId="0" xfId="3" applyNumberFormat="1" applyFont="1" applyFill="1"/>
    <xf numFmtId="172" fontId="9" fillId="2" borderId="0" xfId="3" applyNumberFormat="1" applyFont="1" applyFill="1"/>
    <xf numFmtId="172" fontId="9" fillId="2" borderId="0" xfId="0" applyNumberFormat="1" applyFont="1" applyFill="1"/>
    <xf numFmtId="172" fontId="9" fillId="2" borderId="0" xfId="0" applyNumberFormat="1" applyFont="1" applyFill="1" applyAlignment="1">
      <alignment horizontal="center"/>
    </xf>
    <xf numFmtId="4" fontId="9" fillId="2" borderId="0" xfId="0" applyNumberFormat="1" applyFont="1" applyFill="1" applyAlignment="1">
      <alignment horizontal="center"/>
    </xf>
    <xf numFmtId="170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172" fontId="9" fillId="2" borderId="0" xfId="0" applyNumberFormat="1" applyFont="1" applyFill="1" applyAlignment="1">
      <alignment horizontal="center" vertical="top" readingOrder="1"/>
    </xf>
    <xf numFmtId="172" fontId="9" fillId="2" borderId="0" xfId="1" applyNumberFormat="1" applyFont="1" applyFill="1" applyAlignment="1">
      <alignment horizontal="center"/>
    </xf>
    <xf numFmtId="1" fontId="5" fillId="0" borderId="0" xfId="3" applyNumberFormat="1"/>
    <xf numFmtId="1" fontId="9" fillId="0" borderId="0" xfId="3" applyNumberFormat="1" applyFont="1"/>
    <xf numFmtId="38" fontId="9" fillId="0" borderId="0" xfId="3" applyNumberFormat="1" applyFont="1"/>
    <xf numFmtId="4" fontId="9" fillId="0" borderId="0" xfId="3" applyNumberFormat="1" applyFont="1"/>
    <xf numFmtId="172" fontId="9" fillId="0" borderId="0" xfId="3" applyNumberFormat="1" applyFont="1"/>
    <xf numFmtId="172" fontId="9" fillId="0" borderId="0" xfId="0" applyNumberFormat="1" applyFont="1"/>
    <xf numFmtId="172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170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172" fontId="9" fillId="0" borderId="0" xfId="0" applyNumberFormat="1" applyFont="1" applyAlignment="1">
      <alignment horizontal="right"/>
    </xf>
    <xf numFmtId="172" fontId="9" fillId="0" borderId="0" xfId="0" applyNumberFormat="1" applyFont="1" applyAlignment="1">
      <alignment horizontal="center" vertical="top" readingOrder="1"/>
    </xf>
    <xf numFmtId="172" fontId="9" fillId="0" borderId="0" xfId="1" applyNumberFormat="1" applyFont="1" applyFill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3" applyFont="1"/>
    <xf numFmtId="0" fontId="9" fillId="2" borderId="0" xfId="3" applyFont="1" applyFill="1"/>
    <xf numFmtId="1" fontId="5" fillId="0" borderId="0" xfId="3" applyNumberFormat="1" applyAlignment="1">
      <alignment horizontal="right"/>
    </xf>
    <xf numFmtId="168" fontId="9" fillId="2" borderId="0" xfId="0" applyNumberFormat="1" applyFont="1" applyFill="1" applyAlignment="1">
      <alignment horizontal="center"/>
    </xf>
    <xf numFmtId="172" fontId="9" fillId="0" borderId="0" xfId="1" applyNumberFormat="1" applyFont="1" applyFill="1" applyAlignment="1"/>
    <xf numFmtId="49" fontId="9" fillId="0" borderId="0" xfId="0" applyNumberFormat="1" applyFont="1"/>
    <xf numFmtId="172" fontId="9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11" fillId="0" borderId="0" xfId="0" applyNumberFormat="1" applyFont="1"/>
    <xf numFmtId="172" fontId="11" fillId="0" borderId="0" xfId="0" applyNumberFormat="1" applyFont="1" applyAlignment="1">
      <alignment horizontal="right"/>
    </xf>
    <xf numFmtId="3" fontId="9" fillId="0" borderId="0" xfId="3" applyNumberFormat="1" applyFont="1" applyAlignment="1">
      <alignment horizontal="center"/>
    </xf>
    <xf numFmtId="171" fontId="9" fillId="0" borderId="0" xfId="3" applyNumberFormat="1" applyFont="1" applyAlignment="1">
      <alignment horizontal="center"/>
    </xf>
    <xf numFmtId="3" fontId="9" fillId="0" borderId="0" xfId="3" applyNumberFormat="1" applyFont="1"/>
    <xf numFmtId="172" fontId="9" fillId="0" borderId="1" xfId="3" applyNumberFormat="1" applyFont="1" applyBorder="1"/>
    <xf numFmtId="172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72" fontId="12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72" fontId="9" fillId="0" borderId="0" xfId="1" applyNumberFormat="1" applyFont="1" applyFill="1"/>
  </cellXfs>
  <cellStyles count="7">
    <cellStyle name="Comma" xfId="1" builtinId="3"/>
    <cellStyle name="Comma 2" xfId="6" xr:uid="{10261FE2-05B8-4614-9D51-AB685EC8F84C}"/>
    <cellStyle name="Normal" xfId="0" builtinId="0"/>
    <cellStyle name="Normal 2" xfId="3" xr:uid="{00000000-0005-0000-0000-000002000000}"/>
    <cellStyle name="Normal 3" xfId="4" xr:uid="{183C6E5C-3107-4AEC-B7D1-90761893DBCA}"/>
    <cellStyle name="Normal 3 2" xfId="5" xr:uid="{2F572C11-0593-47B9-A13D-01336DE39955}"/>
    <cellStyle name="Percent" xfId="2" builtinId="5"/>
  </cellStyles>
  <dxfs count="0"/>
  <tableStyles count="0" defaultTableStyle="TableStyleMedium2" defaultPivotStyle="PivotStyleLight16"/>
  <colors>
    <mruColors>
      <color rgb="FFFF99FF"/>
      <color rgb="FFFF6600"/>
      <color rgb="FFB4C6E7"/>
      <color rgb="FFEC3293"/>
      <color rgb="FFFFDE75"/>
      <color rgb="FFFF33CC"/>
      <color rgb="FFA9D08E"/>
      <color rgb="FFFFC000"/>
      <color rgb="FFCC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ary Taylor" id="{8CF69D5B-C02A-48B4-83A6-486ADC5B2C9A}" userId="6697fda7d790f4c8" providerId="Windows Live"/>
  <person displayName="Gary Taylor" id="{93EDB14F-923D-4948-93D0-0FB95D759BFE}" userId="S::Gary.Taylor@durhamanglican.onmicrosoft.com::69d512d2-f08a-4956-8174-d1c0c0fb475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" dT="2025-07-28T14:42:00.32" personId="{93EDB14F-923D-4948-93D0-0FB95D759BFE}" id="{8278A49C-CA48-4B9E-A4C7-D3C3B4210717}">
    <text>=+'K:\Guided Pledge\2026\[Stipend cal for 2026.xlsx]2026 forecast'!$I$25</text>
  </threadedComment>
  <threadedComment ref="A44" dT="2024-03-12T14:10:12.19" personId="{8CF69D5B-C02A-48B4-83A6-486ADC5B2C9A}" id="{F9289217-F4BC-44BF-83BD-C97B885C469A}">
    <text>Was previously 130343</text>
  </threadedComment>
  <threadedComment ref="Q72" dT="2024-08-15T08:42:16.23" personId="{8CF69D5B-C02A-48B4-83A6-486ADC5B2C9A}" id="{2598AB6E-26AE-45B6-818D-659C44F75D56}">
    <text>For year end 2023 there was a significant restricted fund that will be spent in 2024 on the new
annexe building project</text>
  </threadedComment>
  <threadedComment ref="G135" dT="2024-07-30T14:27:15.09" personId="{8CF69D5B-C02A-48B4-83A6-486ADC5B2C9A}" id="{B5C51F0F-707F-47F6-BFE7-0FDCD97CBFF5}">
    <text>August 2022 Methodist circuit fee of £14k deducted from UGP before applying GP limits. Reduced to £9k deduction for 2025</text>
  </threadedComment>
  <threadedComment ref="G135" dT="2025-08-21T08:01:06.85" personId="{93EDB14F-923D-4948-93D0-0FB95D759BFE}" id="{3B8C619D-FB6B-42B4-A868-4C4FDEBB7263}" parentId="{B5C51F0F-707F-47F6-BFE7-0FDCD97CBFF5}">
    <text>For 2024/25 paying £17,774 circuit fee</text>
  </threadedComment>
  <threadedComment ref="G135" dT="2026-08-07T10:54:53.05" personId="{93EDB14F-923D-4948-93D0-0FB95D759BFE}" id="{CD3F90AA-E057-4EF8-909F-A442BCEA6959}" parentId="{B5C51F0F-707F-47F6-BFE7-0FDCD97CBFF5}">
    <text>Deduction of £10k allowed for in 2027</text>
  </threadedComment>
  <threadedComment ref="H135" dT="2024-07-30T14:27:15.09" personId="{8CF69D5B-C02A-48B4-83A6-486ADC5B2C9A}" id="{DB071A3E-7E37-48F6-B918-B6ADA0F6ABE0}">
    <text>August 2022 Methodist circuit fee of £14k deducted from UGP before applying GP limits. Reduced to £9k deduction for 2025</text>
  </threadedComment>
  <threadedComment ref="H135" dT="2025-08-21T08:01:06.85" personId="{93EDB14F-923D-4948-93D0-0FB95D759BFE}" id="{411C0372-C5A8-4169-92C9-D4FBDC16FEB4}" parentId="{DB071A3E-7E37-48F6-B918-B6ADA0F6ABE0}">
    <text>For 2024/25 paying £17,774 circuit fee</text>
  </threadedComment>
  <threadedComment ref="A141" dT="2024-03-01T16:11:03.05" personId="{8CF69D5B-C02A-48B4-83A6-486ADC5B2C9A}" id="{05FD1845-B9B2-4660-B894-3D75DA3E5118}">
    <text>Renumberd centrally to 130350</text>
  </threadedComment>
  <threadedComment ref="A141" dT="2024-04-03T14:41:41.58" personId="{8CF69D5B-C02A-48B4-83A6-486ADC5B2C9A}" id="{F6027B18-A283-4E5F-89AD-E7992E276099}" parentId="{05FD1845-B9B2-4660-B894-3D75DA3E5118}">
    <text>Was 130171</text>
  </threadedComment>
  <threadedComment ref="A179" dT="2024-06-05T10:17:55.74" personId="{8CF69D5B-C02A-48B4-83A6-486ADC5B2C9A}" id="{CCAF0BFF-64E6-4794-A4B2-88224193C553}">
    <text>Quoted as either 130172 or 130349 dependent on source</text>
  </threadedComment>
  <threadedComment ref="A195" dT="2025-08-04T13:32:22.07" personId="{93EDB14F-923D-4948-93D0-0FB95D759BFE}" id="{F83FFEEC-79B4-42B6-8BAD-327A4384CA6C}">
    <text>Now West Weardale 130356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AL210"/>
  <sheetViews>
    <sheetView tabSelected="1" view="pageBreakPreview" zoomScale="90" zoomScaleNormal="100" zoomScaleSheetLayoutView="90" workbookViewId="0">
      <pane xSplit="6" ySplit="1" topLeftCell="G7" activePane="bottomRight" state="frozen"/>
      <selection pane="topRight" activeCell="E1" sqref="E1"/>
      <selection pane="bottomLeft" activeCell="A2" sqref="A2"/>
      <selection pane="bottomRight" activeCell="G1" sqref="G1:H1048576"/>
    </sheetView>
  </sheetViews>
  <sheetFormatPr defaultColWidth="0.109375" defaultRowHeight="15" x14ac:dyDescent="0.25"/>
  <cols>
    <col min="1" max="1" width="7.44140625" style="75" hidden="1" customWidth="1"/>
    <col min="2" max="2" width="51.6640625" style="67" hidden="1" customWidth="1"/>
    <col min="3" max="3" width="13.33203125" style="67" hidden="1" customWidth="1"/>
    <col min="4" max="4" width="34.6640625" style="73" customWidth="1"/>
    <col min="5" max="5" width="17.44140625" style="67" customWidth="1"/>
    <col min="6" max="6" width="32.21875" style="67" bestFit="1" customWidth="1"/>
    <col min="7" max="7" width="14.88671875" style="64" customWidth="1"/>
    <col min="8" max="8" width="14.5546875" style="64" bestFit="1" customWidth="1"/>
    <col min="9" max="9" width="21" style="58" customWidth="1"/>
    <col min="10" max="10" width="17.44140625" style="58" customWidth="1"/>
    <col min="11" max="11" width="17.44140625" style="74" customWidth="1"/>
    <col min="12" max="12" width="19.44140625" style="74" customWidth="1"/>
    <col min="13" max="13" width="18" style="74" customWidth="1"/>
    <col min="14" max="17" width="14.21875" style="74" customWidth="1"/>
    <col min="18" max="20" width="13" style="74" customWidth="1"/>
    <col min="21" max="21" width="16" style="74" customWidth="1"/>
    <col min="22" max="22" width="16.44140625" style="74" customWidth="1"/>
    <col min="23" max="23" width="13" style="74" customWidth="1"/>
    <col min="24" max="24" width="19.44140625" style="62" customWidth="1"/>
    <col min="25" max="25" width="14.109375" style="74" customWidth="1"/>
    <col min="26" max="26" width="16" style="67" customWidth="1"/>
    <col min="27" max="27" width="11" style="74" customWidth="1"/>
    <col min="28" max="28" width="13" style="62" customWidth="1"/>
    <col min="29" max="29" width="14.5546875" style="62" customWidth="1"/>
    <col min="30" max="30" width="21" style="67" customWidth="1"/>
    <col min="31" max="31" width="13" style="74" customWidth="1"/>
    <col min="32" max="32" width="13.44140625" style="74" customWidth="1"/>
    <col min="33" max="33" width="19.6640625" style="74" customWidth="1"/>
    <col min="34" max="34" width="13.44140625" style="64" customWidth="1"/>
    <col min="35" max="35" width="10.33203125" style="64" hidden="1" customWidth="1"/>
    <col min="36" max="36" width="11.5546875" style="74" customWidth="1"/>
    <col min="37" max="37" width="1.6640625" style="74" hidden="1" customWidth="1"/>
    <col min="38" max="38" width="12.5546875" style="74" bestFit="1" customWidth="1"/>
    <col min="39" max="39" width="0.109375" style="67" customWidth="1"/>
    <col min="40" max="16384" width="0.109375" style="67"/>
  </cols>
  <sheetData>
    <row r="1" spans="1:38" s="38" customFormat="1" ht="100.8" customHeight="1" thickBot="1" x14ac:dyDescent="0.35">
      <c r="A1" s="27" t="s">
        <v>202</v>
      </c>
      <c r="B1" s="24" t="s">
        <v>234</v>
      </c>
      <c r="C1" s="24" t="s">
        <v>235</v>
      </c>
      <c r="D1" s="28" t="s">
        <v>29</v>
      </c>
      <c r="E1" s="29" t="s">
        <v>28</v>
      </c>
      <c r="F1" s="28" t="s">
        <v>27</v>
      </c>
      <c r="G1" s="36" t="s">
        <v>254</v>
      </c>
      <c r="H1" s="37" t="s">
        <v>245</v>
      </c>
      <c r="I1" s="30" t="s">
        <v>250</v>
      </c>
      <c r="J1" s="31" t="s">
        <v>242</v>
      </c>
      <c r="K1" s="30" t="s">
        <v>240</v>
      </c>
      <c r="L1" s="31" t="s">
        <v>251</v>
      </c>
      <c r="M1" s="30" t="s">
        <v>247</v>
      </c>
      <c r="N1" s="31" t="s">
        <v>230</v>
      </c>
      <c r="O1" s="30" t="s">
        <v>252</v>
      </c>
      <c r="P1" s="31" t="s">
        <v>243</v>
      </c>
      <c r="Q1" s="30" t="s">
        <v>231</v>
      </c>
      <c r="R1" s="31" t="s">
        <v>253</v>
      </c>
      <c r="S1" s="30" t="s">
        <v>244</v>
      </c>
      <c r="T1" s="31" t="s">
        <v>236</v>
      </c>
      <c r="U1" s="30" t="s">
        <v>25</v>
      </c>
      <c r="V1" s="31" t="s">
        <v>26</v>
      </c>
      <c r="W1" s="30" t="s">
        <v>260</v>
      </c>
      <c r="X1" s="32" t="s">
        <v>455</v>
      </c>
      <c r="Y1" s="30" t="s">
        <v>259</v>
      </c>
      <c r="Z1" s="25" t="s">
        <v>459</v>
      </c>
      <c r="AA1" s="30" t="s">
        <v>261</v>
      </c>
      <c r="AB1" s="32" t="s">
        <v>255</v>
      </c>
      <c r="AC1" s="33" t="s">
        <v>461</v>
      </c>
      <c r="AD1" s="32" t="s">
        <v>257</v>
      </c>
      <c r="AE1" s="30" t="s">
        <v>262</v>
      </c>
      <c r="AF1" s="31" t="s">
        <v>223</v>
      </c>
      <c r="AG1" s="30" t="s">
        <v>456</v>
      </c>
      <c r="AH1" s="31" t="s">
        <v>457</v>
      </c>
      <c r="AI1" s="31" t="s">
        <v>460</v>
      </c>
      <c r="AJ1" s="34" t="s">
        <v>246</v>
      </c>
      <c r="AK1" s="35">
        <v>107720.93023255814</v>
      </c>
      <c r="AL1" s="31" t="s">
        <v>258</v>
      </c>
    </row>
    <row r="2" spans="1:38" hidden="1" x14ac:dyDescent="0.25">
      <c r="A2" s="39">
        <v>130187</v>
      </c>
      <c r="B2" s="40" t="s">
        <v>367</v>
      </c>
      <c r="C2" s="40" t="s">
        <v>263</v>
      </c>
      <c r="D2" s="41" t="s">
        <v>9</v>
      </c>
      <c r="E2" s="42" t="s">
        <v>237</v>
      </c>
      <c r="F2" s="42" t="s">
        <v>237</v>
      </c>
      <c r="G2" s="26">
        <f t="shared" ref="G2:G36" si="0">+AJ2</f>
        <v>41358.483042955544</v>
      </c>
      <c r="H2" s="26">
        <v>35531.274207935836</v>
      </c>
      <c r="I2" s="43">
        <v>73439</v>
      </c>
      <c r="J2" s="43">
        <v>71936</v>
      </c>
      <c r="K2" s="44">
        <v>68042</v>
      </c>
      <c r="L2" s="43">
        <v>72114</v>
      </c>
      <c r="M2" s="44">
        <v>45427</v>
      </c>
      <c r="N2" s="44">
        <v>5953</v>
      </c>
      <c r="O2" s="43">
        <v>54986</v>
      </c>
      <c r="P2" s="44">
        <v>123920</v>
      </c>
      <c r="Q2" s="44">
        <v>148691</v>
      </c>
      <c r="R2" s="43">
        <v>6066</v>
      </c>
      <c r="S2" s="44">
        <v>6114</v>
      </c>
      <c r="T2" s="44">
        <v>13318</v>
      </c>
      <c r="U2" s="45">
        <f t="shared" ref="U2:U33" si="1">I2+R2*0.1</f>
        <v>74045.600000000006</v>
      </c>
      <c r="V2" s="45">
        <f t="shared" ref="V2:V33" si="2">L2+0.1*O2</f>
        <v>77612.600000000006</v>
      </c>
      <c r="W2" s="45">
        <f>SUM(U2*'Factors &amp; Percentages'!$E$6+V2*'Factors &amp; Percentages'!$E$7)</f>
        <v>12482.576843384562</v>
      </c>
      <c r="X2" s="46">
        <v>1</v>
      </c>
      <c r="Y2" s="45">
        <f>X2*'Factors &amp; Percentages'!$E$10</f>
        <v>14160.96928630961</v>
      </c>
      <c r="Z2" s="47">
        <v>2.914287879185282E-2</v>
      </c>
      <c r="AA2" s="45">
        <f>+'Factors &amp; Percentages'!E$13*Z2</f>
        <v>4857.3645888942492</v>
      </c>
      <c r="AB2" s="48">
        <v>40</v>
      </c>
      <c r="AC2" s="49">
        <v>124</v>
      </c>
      <c r="AD2" s="50">
        <v>6108</v>
      </c>
      <c r="AE2" s="45">
        <f>AB2*'Factors &amp; Percentages'!$E$16+AC2*'Factors &amp; Percentages'!$E$17+AD2*'Factors &amp; Percentages'!$E$18</f>
        <v>9857.5723243671273</v>
      </c>
      <c r="AF2" s="45">
        <f t="shared" ref="AF2:AF33" si="3">W2+Y2+AA2+AE2</f>
        <v>41358.483042955544</v>
      </c>
      <c r="AG2" s="51">
        <f t="shared" ref="AG2:AG33" si="4">IF($L2&gt;SUM(I2:K2)/3,$AF2,MIN(AF2,$I2*0.65))</f>
        <v>41358.483042955544</v>
      </c>
      <c r="AH2" s="26">
        <f>IF($AL2&gt;$AF2,$AL2*(1+'Factors &amp; Percentages'!$B$3),
IF($AF2&gt;$AG2,$AG2,
IF($AF2&gt;$BOJ2,$AF2,
$AL2*(1+'Factors &amp; Percentages'!$B$3))))</f>
        <v>41358.483042955544</v>
      </c>
      <c r="AI2" s="26">
        <f>IF(+MIN(AH2,+X2*2*AK$1)-(AL2*(1+'Factors &amp; Percentages'!B$3))&gt;0,0,+MIN(AH2,+X2*2*AK$1)-(AL2*(1+'Factors &amp; Percentages'!B$3)))</f>
        <v>0</v>
      </c>
      <c r="AJ2" s="26">
        <f t="shared" ref="AJ2:AJ48" si="5">MIN(AH2-AI2,+X2*2*AK$1)</f>
        <v>41358.483042955544</v>
      </c>
      <c r="AK2" s="51"/>
      <c r="AL2" s="52">
        <v>25000</v>
      </c>
    </row>
    <row r="3" spans="1:38" hidden="1" x14ac:dyDescent="0.25">
      <c r="A3" s="53">
        <v>130210</v>
      </c>
      <c r="B3" s="54" t="s">
        <v>368</v>
      </c>
      <c r="C3" s="54" t="s">
        <v>31</v>
      </c>
      <c r="D3" s="55" t="s">
        <v>31</v>
      </c>
      <c r="E3" s="56" t="s">
        <v>237</v>
      </c>
      <c r="F3" s="56" t="s">
        <v>239</v>
      </c>
      <c r="G3" s="64">
        <f t="shared" si="0"/>
        <v>61800</v>
      </c>
      <c r="H3" s="64">
        <v>68250</v>
      </c>
      <c r="I3" s="57">
        <v>106872</v>
      </c>
      <c r="J3" s="57">
        <v>98533</v>
      </c>
      <c r="K3" s="58">
        <v>106357</v>
      </c>
      <c r="L3" s="57">
        <v>79046</v>
      </c>
      <c r="M3" s="58">
        <v>79688</v>
      </c>
      <c r="N3" s="58">
        <v>60138</v>
      </c>
      <c r="O3" s="57">
        <v>33987</v>
      </c>
      <c r="P3" s="58">
        <v>28048</v>
      </c>
      <c r="Q3" s="58">
        <v>54038</v>
      </c>
      <c r="R3" s="57">
        <v>4647</v>
      </c>
      <c r="S3" s="58">
        <v>11372</v>
      </c>
      <c r="T3" s="58">
        <v>27138</v>
      </c>
      <c r="U3" s="59">
        <f t="shared" si="1"/>
        <v>107336.7</v>
      </c>
      <c r="V3" s="59">
        <f t="shared" si="2"/>
        <v>82444.7</v>
      </c>
      <c r="W3" s="59">
        <f>SUM(U3*'Factors &amp; Percentages'!$E$6+V3*'Factors &amp; Percentages'!$E$7)</f>
        <v>15985.620251358234</v>
      </c>
      <c r="X3" s="60">
        <v>1</v>
      </c>
      <c r="Y3" s="59">
        <f>X3*'Factors &amp; Percentages'!$E$10</f>
        <v>14160.96928630961</v>
      </c>
      <c r="Z3" s="61">
        <v>6.1786367455884533E-2</v>
      </c>
      <c r="AA3" s="59">
        <f>+'Factors &amp; Percentages'!E$13*Z3</f>
        <v>10298.190357245105</v>
      </c>
      <c r="AB3" s="62">
        <v>93</v>
      </c>
      <c r="AC3" s="85">
        <v>114</v>
      </c>
      <c r="AD3" s="63">
        <v>6817</v>
      </c>
      <c r="AE3" s="59">
        <f>AB3*'Factors &amp; Percentages'!$E$16+AC3*'Factors &amp; Percentages'!$E$17+AD3*'Factors &amp; Percentages'!$E$18</f>
        <v>16877.303273993548</v>
      </c>
      <c r="AF3" s="59">
        <f t="shared" si="3"/>
        <v>57322.083168906494</v>
      </c>
      <c r="AG3" s="65">
        <f t="shared" si="4"/>
        <v>57322.083168906494</v>
      </c>
      <c r="AH3" s="64">
        <f>IF($AL3&gt;$AF3,$AL3*(1+'Factors &amp; Percentages'!$B$3),
IF($AF3&gt;$AG3,$AG3,
IF($AF3&gt;$BOJ3,$AF3,
$AL3*(1+'Factors &amp; Percentages'!$B$3))))</f>
        <v>61800</v>
      </c>
      <c r="AI3" s="64">
        <f>IF(+MIN(AH3,+X3*2*AK$1)-(AL3*(1+'Factors &amp; Percentages'!B$3))&gt;0,0,+MIN(AH3,+X3*2*AK$1)-(AL3*(1+'Factors &amp; Percentages'!B$3)))</f>
        <v>0</v>
      </c>
      <c r="AJ3" s="64">
        <f t="shared" si="5"/>
        <v>61800</v>
      </c>
      <c r="AK3" s="65"/>
      <c r="AL3" s="66">
        <v>60000</v>
      </c>
    </row>
    <row r="4" spans="1:38" hidden="1" x14ac:dyDescent="0.25">
      <c r="A4" s="39">
        <v>130014</v>
      </c>
      <c r="B4" s="40" t="s">
        <v>369</v>
      </c>
      <c r="C4" s="40" t="s">
        <v>72</v>
      </c>
      <c r="D4" s="41" t="s">
        <v>72</v>
      </c>
      <c r="E4" s="42" t="s">
        <v>356</v>
      </c>
      <c r="F4" s="42" t="s">
        <v>356</v>
      </c>
      <c r="G4" s="26">
        <f t="shared" si="0"/>
        <v>18255.390067411918</v>
      </c>
      <c r="H4" s="26">
        <v>12648.496728421378</v>
      </c>
      <c r="I4" s="43">
        <v>23846</v>
      </c>
      <c r="J4" s="43">
        <v>17020</v>
      </c>
      <c r="K4" s="44">
        <v>28160</v>
      </c>
      <c r="L4" s="43">
        <v>47237</v>
      </c>
      <c r="M4" s="44">
        <v>33555</v>
      </c>
      <c r="N4" s="44">
        <v>129896</v>
      </c>
      <c r="O4" s="43">
        <v>12637</v>
      </c>
      <c r="P4" s="44">
        <v>11907</v>
      </c>
      <c r="Q4" s="44">
        <v>8221</v>
      </c>
      <c r="R4" s="43">
        <v>888</v>
      </c>
      <c r="S4" s="44">
        <v>928</v>
      </c>
      <c r="T4" s="44">
        <v>2644</v>
      </c>
      <c r="U4" s="45">
        <f t="shared" si="1"/>
        <v>23934.799999999999</v>
      </c>
      <c r="V4" s="45">
        <f t="shared" si="2"/>
        <v>48500.7</v>
      </c>
      <c r="W4" s="45">
        <f>SUM(U4*'Factors &amp; Percentages'!$E$6+V4*'Factors &amp; Percentages'!$E$7)</f>
        <v>5677.5321432567707</v>
      </c>
      <c r="X4" s="46">
        <v>0.2</v>
      </c>
      <c r="Y4" s="45">
        <f>X4*'Factors &amp; Percentages'!$E$10</f>
        <v>2832.1938572619219</v>
      </c>
      <c r="Z4" s="47">
        <v>3.5212631475162771E-2</v>
      </c>
      <c r="AA4" s="45">
        <f>+'Factors &amp; Percentages'!E$13*Z4</f>
        <v>5869.035465949054</v>
      </c>
      <c r="AB4" s="48">
        <v>20</v>
      </c>
      <c r="AC4" s="49">
        <v>29</v>
      </c>
      <c r="AD4" s="50">
        <v>2073</v>
      </c>
      <c r="AE4" s="45">
        <f>AB4*'Factors &amp; Percentages'!$E$16+AC4*'Factors &amp; Percentages'!$E$17+AD4*'Factors &amp; Percentages'!$E$18</f>
        <v>3876.6286009441706</v>
      </c>
      <c r="AF4" s="45">
        <f t="shared" si="3"/>
        <v>18255.390067411918</v>
      </c>
      <c r="AG4" s="51">
        <f t="shared" si="4"/>
        <v>18255.390067411918</v>
      </c>
      <c r="AH4" s="26">
        <f>IF($AL4&gt;$AF4,$AL4*(1+'Factors &amp; Percentages'!$B$3),
IF($AF4&gt;$AG4,$AG4,
IF($AF4&gt;$BOJ4,$AF4,
$AL4*(1+'Factors &amp; Percentages'!$B$3))))</f>
        <v>18255.390067411918</v>
      </c>
      <c r="AI4" s="26">
        <f>IF(+MIN(AH4,+X4*2*AK$1)-(AL4*(1+'Factors &amp; Percentages'!B$3))&gt;0,0,+MIN(AH4,+X4*2*AK$1)-(AL4*(1+'Factors &amp; Percentages'!B$3)))</f>
        <v>0</v>
      </c>
      <c r="AJ4" s="26">
        <f t="shared" si="5"/>
        <v>18255.390067411918</v>
      </c>
      <c r="AK4" s="51"/>
      <c r="AL4" s="52">
        <v>6000</v>
      </c>
    </row>
    <row r="5" spans="1:38" hidden="1" x14ac:dyDescent="0.25">
      <c r="A5" s="53">
        <v>130015</v>
      </c>
      <c r="B5" s="54" t="s">
        <v>73</v>
      </c>
      <c r="C5" s="54" t="s">
        <v>73</v>
      </c>
      <c r="D5" s="55" t="s">
        <v>73</v>
      </c>
      <c r="E5" s="56" t="s">
        <v>356</v>
      </c>
      <c r="F5" s="56" t="s">
        <v>356</v>
      </c>
      <c r="G5" s="64">
        <f t="shared" si="0"/>
        <v>46129.266706580616</v>
      </c>
      <c r="H5" s="64">
        <v>53401.595269011799</v>
      </c>
      <c r="I5" s="57">
        <v>50107</v>
      </c>
      <c r="J5" s="57">
        <v>56095</v>
      </c>
      <c r="K5" s="58">
        <v>57469</v>
      </c>
      <c r="L5" s="57">
        <v>100190</v>
      </c>
      <c r="M5" s="58">
        <v>113775</v>
      </c>
      <c r="N5" s="58">
        <v>24475</v>
      </c>
      <c r="O5" s="57">
        <v>0</v>
      </c>
      <c r="P5" s="58">
        <v>0</v>
      </c>
      <c r="Q5" s="58">
        <v>0</v>
      </c>
      <c r="R5" s="57">
        <v>0</v>
      </c>
      <c r="S5" s="58">
        <v>0</v>
      </c>
      <c r="T5" s="58">
        <v>28674</v>
      </c>
      <c r="U5" s="59">
        <f t="shared" si="1"/>
        <v>50107</v>
      </c>
      <c r="V5" s="59">
        <f t="shared" si="2"/>
        <v>100190</v>
      </c>
      <c r="W5" s="59">
        <f>SUM(U5*'Factors &amp; Percentages'!$E$6+V5*'Factors &amp; Percentages'!$E$7)</f>
        <v>11791.417188909689</v>
      </c>
      <c r="X5" s="60">
        <v>0.7</v>
      </c>
      <c r="Y5" s="59">
        <f>X5*'Factors &amp; Percentages'!$E$10</f>
        <v>9912.6785004167268</v>
      </c>
      <c r="Z5" s="61">
        <v>9.2007323782973119E-2</v>
      </c>
      <c r="AA5" s="59">
        <f>+'Factors &amp; Percentages'!E$13*Z5</f>
        <v>15335.24260435384</v>
      </c>
      <c r="AB5" s="62">
        <v>40</v>
      </c>
      <c r="AC5" s="85">
        <v>78</v>
      </c>
      <c r="AD5" s="63">
        <v>7920</v>
      </c>
      <c r="AE5" s="59">
        <f>AB5*'Factors &amp; Percentages'!$E$16+AC5*'Factors &amp; Percentages'!$E$17+AD5*'Factors &amp; Percentages'!$E$18</f>
        <v>9089.9284129003645</v>
      </c>
      <c r="AF5" s="59">
        <f t="shared" si="3"/>
        <v>46129.266706580616</v>
      </c>
      <c r="AG5" s="65">
        <f t="shared" si="4"/>
        <v>46129.266706580616</v>
      </c>
      <c r="AH5" s="64">
        <f>IF($AL5&gt;$AF5,$AL5*(1+'Factors &amp; Percentages'!$B$3),
IF($AF5&gt;$AG5,$AG5,
IF($AF5&gt;$BOJ5,$AF5,
$AL5*(1+'Factors &amp; Percentages'!$B$3))))</f>
        <v>46129.266706580616</v>
      </c>
      <c r="AI5" s="64">
        <f>IF(+MIN(AH5,+X5*2*AK$1)-(AL5*(1+'Factors &amp; Percentages'!B$3))&gt;0,0,+MIN(AH5,+X5*2*AK$1)-(AL5*(1+'Factors &amp; Percentages'!B$3)))</f>
        <v>0</v>
      </c>
      <c r="AJ5" s="64">
        <f t="shared" si="5"/>
        <v>46129.266706580616</v>
      </c>
      <c r="AK5" s="65"/>
      <c r="AL5" s="66">
        <v>25000</v>
      </c>
    </row>
    <row r="6" spans="1:38" hidden="1" x14ac:dyDescent="0.25">
      <c r="A6" s="39">
        <v>130136</v>
      </c>
      <c r="B6" s="40" t="s">
        <v>156</v>
      </c>
      <c r="C6" s="40" t="s">
        <v>156</v>
      </c>
      <c r="D6" s="41" t="s">
        <v>156</v>
      </c>
      <c r="E6" s="42" t="s">
        <v>356</v>
      </c>
      <c r="F6" s="42" t="s">
        <v>358</v>
      </c>
      <c r="G6" s="26">
        <f t="shared" si="0"/>
        <v>28793.65</v>
      </c>
      <c r="H6" s="26">
        <v>32952.926709590218</v>
      </c>
      <c r="I6" s="43">
        <v>43336</v>
      </c>
      <c r="J6" s="43">
        <v>43421</v>
      </c>
      <c r="K6" s="44">
        <v>43007</v>
      </c>
      <c r="L6" s="43">
        <v>41019</v>
      </c>
      <c r="M6" s="44">
        <v>45373</v>
      </c>
      <c r="N6" s="44">
        <v>43958</v>
      </c>
      <c r="O6" s="43">
        <v>5051</v>
      </c>
      <c r="P6" s="44">
        <v>23167</v>
      </c>
      <c r="Q6" s="44">
        <v>18711</v>
      </c>
      <c r="R6" s="43">
        <v>22073</v>
      </c>
      <c r="S6" s="44">
        <v>1227</v>
      </c>
      <c r="T6" s="44">
        <v>672</v>
      </c>
      <c r="U6" s="45">
        <f t="shared" si="1"/>
        <v>45543.3</v>
      </c>
      <c r="V6" s="45">
        <f t="shared" si="2"/>
        <v>41524.1</v>
      </c>
      <c r="W6" s="45">
        <f>SUM(U6*'Factors &amp; Percentages'!$E$6+V6*'Factors &amp; Percentages'!$E$7)</f>
        <v>7241.7648865672318</v>
      </c>
      <c r="X6" s="46">
        <v>0.5</v>
      </c>
      <c r="Y6" s="45">
        <f>X6*'Factors &amp; Percentages'!$E$10</f>
        <v>7080.4846431548049</v>
      </c>
      <c r="Z6" s="47">
        <v>5.3154733429011856E-2</v>
      </c>
      <c r="AA6" s="45">
        <f>+'Factors &amp; Percentages'!E$13*Z6</f>
        <v>8859.5200815362023</v>
      </c>
      <c r="AB6" s="48">
        <v>37</v>
      </c>
      <c r="AC6" s="49">
        <v>77</v>
      </c>
      <c r="AD6" s="50">
        <v>9668</v>
      </c>
      <c r="AE6" s="45">
        <f>AB6*'Factors &amp; Percentages'!$E$16+AC6*'Factors &amp; Percentages'!$E$17+AD6*'Factors &amp; Percentages'!$E$18</f>
        <v>9046.0082297100253</v>
      </c>
      <c r="AF6" s="45">
        <f t="shared" si="3"/>
        <v>32227.777840968265</v>
      </c>
      <c r="AG6" s="51">
        <f t="shared" si="4"/>
        <v>28168.400000000001</v>
      </c>
      <c r="AH6" s="26">
        <f>IF($AL6&gt;$AF6,$AL6*(1+'Factors &amp; Percentages'!$B$3),
IF($AF6&gt;$AG6,$AG6,
IF($AF6&gt;$BOJ6,$AF6,
$AL6*(1+'Factors &amp; Percentages'!$B$3))))</f>
        <v>28168.400000000001</v>
      </c>
      <c r="AI6" s="26">
        <f>IF(+MIN(AH6,+X6*2*AK$1)-(AL6*(1+'Factors &amp; Percentages'!B$3))&gt;0,0,+MIN(AH6,+X6*2*AK$1)-(AL6*(1+'Factors &amp; Percentages'!B$3)))</f>
        <v>-625.25</v>
      </c>
      <c r="AJ6" s="26">
        <f t="shared" si="5"/>
        <v>28793.65</v>
      </c>
      <c r="AK6" s="51"/>
      <c r="AL6" s="52">
        <v>27955</v>
      </c>
    </row>
    <row r="7" spans="1:38" x14ac:dyDescent="0.25">
      <c r="A7" s="53">
        <v>130063</v>
      </c>
      <c r="B7" s="54" t="s">
        <v>264</v>
      </c>
      <c r="C7" s="54" t="s">
        <v>264</v>
      </c>
      <c r="D7" s="55" t="s">
        <v>108</v>
      </c>
      <c r="E7" s="56" t="s">
        <v>357</v>
      </c>
      <c r="F7" s="56" t="s">
        <v>359</v>
      </c>
      <c r="G7" s="64">
        <f t="shared" si="0"/>
        <v>41090.117563351021</v>
      </c>
      <c r="H7" s="64">
        <v>34616.265409385785</v>
      </c>
      <c r="I7" s="57">
        <v>38737</v>
      </c>
      <c r="J7" s="57">
        <v>27580</v>
      </c>
      <c r="K7" s="58">
        <v>32645</v>
      </c>
      <c r="L7" s="57">
        <v>191437</v>
      </c>
      <c r="M7" s="58">
        <v>190594</v>
      </c>
      <c r="N7" s="58">
        <v>190790</v>
      </c>
      <c r="O7" s="57">
        <v>0</v>
      </c>
      <c r="P7" s="58">
        <v>0</v>
      </c>
      <c r="Q7" s="58">
        <v>10379</v>
      </c>
      <c r="R7" s="57">
        <v>2353</v>
      </c>
      <c r="S7" s="58">
        <v>2353</v>
      </c>
      <c r="T7" s="58">
        <v>0</v>
      </c>
      <c r="U7" s="59">
        <f t="shared" si="1"/>
        <v>38972.300000000003</v>
      </c>
      <c r="V7" s="59">
        <f t="shared" si="2"/>
        <v>191437</v>
      </c>
      <c r="W7" s="59">
        <f>SUM(U7*'Factors &amp; Percentages'!$E$6+V7*'Factors &amp; Percentages'!$E$7)</f>
        <v>17134.914110229893</v>
      </c>
      <c r="X7" s="60">
        <v>1</v>
      </c>
      <c r="Y7" s="59">
        <f>X7*'Factors &amp; Percentages'!$E$10</f>
        <v>14160.96928630961</v>
      </c>
      <c r="Z7" s="61">
        <v>2.3298726957559038E-2</v>
      </c>
      <c r="AA7" s="59">
        <f>+'Factors &amp; Percentages'!E$13*Z7</f>
        <v>3883.2955418804072</v>
      </c>
      <c r="AB7" s="62">
        <v>11</v>
      </c>
      <c r="AC7" s="85">
        <v>11</v>
      </c>
      <c r="AD7" s="63">
        <v>18899</v>
      </c>
      <c r="AE7" s="59">
        <f>AB7*'Factors &amp; Percentages'!$E$16+AC7*'Factors &amp; Percentages'!$E$17+AD7*'Factors &amp; Percentages'!$E$18</f>
        <v>5910.9386249311119</v>
      </c>
      <c r="AF7" s="59">
        <f t="shared" si="3"/>
        <v>41090.117563351021</v>
      </c>
      <c r="AG7" s="65">
        <f t="shared" si="4"/>
        <v>41090.117563351021</v>
      </c>
      <c r="AH7" s="64">
        <f>IF($AL7&gt;$AF7,$AL7*(1+'Factors &amp; Percentages'!$B$3),
IF($AF7&gt;$AG7,$AG7,
IF($AF7&gt;$BOJ7,$AF7,
$AL7*(1+'Factors &amp; Percentages'!$B$3))))</f>
        <v>41090.117563351021</v>
      </c>
      <c r="AI7" s="64">
        <f>IF(+MIN(AH7,+X7*2*AK$1)-(AL7*(1+'Factors &amp; Percentages'!B$3))&gt;0,0,+MIN(AH7,+X7*2*AK$1)-(AL7*(1+'Factors &amp; Percentages'!B$3)))</f>
        <v>0</v>
      </c>
      <c r="AJ7" s="64">
        <f t="shared" si="5"/>
        <v>41090.117563351021</v>
      </c>
      <c r="AK7" s="65"/>
      <c r="AL7" s="66">
        <v>13020</v>
      </c>
    </row>
    <row r="8" spans="1:38" hidden="1" x14ac:dyDescent="0.25">
      <c r="A8" s="39">
        <v>130344</v>
      </c>
      <c r="B8" s="40" t="s">
        <v>174</v>
      </c>
      <c r="C8" s="40" t="s">
        <v>174</v>
      </c>
      <c r="D8" s="41" t="s">
        <v>174</v>
      </c>
      <c r="E8" s="42" t="s">
        <v>237</v>
      </c>
      <c r="F8" s="42" t="s">
        <v>238</v>
      </c>
      <c r="G8" s="26">
        <f t="shared" si="0"/>
        <v>70781.12679972114</v>
      </c>
      <c r="H8" s="26">
        <v>71348.545615550684</v>
      </c>
      <c r="I8" s="43">
        <v>112186</v>
      </c>
      <c r="J8" s="43">
        <v>130933</v>
      </c>
      <c r="K8" s="44">
        <v>119533</v>
      </c>
      <c r="L8" s="43">
        <v>51815</v>
      </c>
      <c r="M8" s="44">
        <v>76920</v>
      </c>
      <c r="N8" s="44">
        <v>179949</v>
      </c>
      <c r="O8" s="43">
        <v>23150</v>
      </c>
      <c r="P8" s="44">
        <v>5274</v>
      </c>
      <c r="Q8" s="44">
        <v>9556</v>
      </c>
      <c r="R8" s="43">
        <v>23204</v>
      </c>
      <c r="S8" s="44">
        <v>705</v>
      </c>
      <c r="T8" s="44">
        <v>0</v>
      </c>
      <c r="U8" s="45">
        <f t="shared" si="1"/>
        <v>114506.4</v>
      </c>
      <c r="V8" s="45">
        <f t="shared" si="2"/>
        <v>54130</v>
      </c>
      <c r="W8" s="45">
        <f>SUM(U8*'Factors &amp; Percentages'!$E$6+V8*'Factors &amp; Percentages'!$E$7)</f>
        <v>14680.520899653277</v>
      </c>
      <c r="X8" s="46">
        <v>2</v>
      </c>
      <c r="Y8" s="45">
        <f>X8*'Factors &amp; Percentages'!$E$10</f>
        <v>28321.938572619219</v>
      </c>
      <c r="Z8" s="47">
        <v>3.7519228604659893E-2</v>
      </c>
      <c r="AA8" s="45">
        <f>+'Factors &amp; Percentages'!E$13*Z8</f>
        <v>6253.4855848850266</v>
      </c>
      <c r="AB8" s="48">
        <v>77</v>
      </c>
      <c r="AC8" s="49">
        <v>139</v>
      </c>
      <c r="AD8" s="50">
        <v>34849</v>
      </c>
      <c r="AE8" s="45">
        <f>AB8*'Factors &amp; Percentages'!$E$16+AC8*'Factors &amp; Percentages'!$E$17+AD8*'Factors &amp; Percentages'!$E$18</f>
        <v>21525.181742563622</v>
      </c>
      <c r="AF8" s="45">
        <f t="shared" si="3"/>
        <v>70781.12679972114</v>
      </c>
      <c r="AG8" s="51">
        <f t="shared" si="4"/>
        <v>70781.12679972114</v>
      </c>
      <c r="AH8" s="26">
        <f>IF($AL8&gt;$AF8,$AL8*(1+'Factors &amp; Percentages'!$B$3),
IF($AF8&gt;$AG8,$AG8,
IF($AF8&gt;$BOJ8,$AF8,
$AL8*(1+'Factors &amp; Percentages'!$B$3))))</f>
        <v>70781.12679972114</v>
      </c>
      <c r="AI8" s="26">
        <f>IF(+MIN(AH8,+X8*2*AK$1)-(AL8*(1+'Factors &amp; Percentages'!B$3))&gt;0,0,+MIN(AH8,+X8*2*AK$1)-(AL8*(1+'Factors &amp; Percentages'!B$3)))</f>
        <v>0</v>
      </c>
      <c r="AJ8" s="26">
        <f t="shared" si="5"/>
        <v>70781.12679972114</v>
      </c>
      <c r="AK8" s="51"/>
      <c r="AL8" s="52">
        <v>64000</v>
      </c>
    </row>
    <row r="9" spans="1:38" x14ac:dyDescent="0.25">
      <c r="A9" s="53">
        <v>130003</v>
      </c>
      <c r="B9" s="54" t="s">
        <v>42</v>
      </c>
      <c r="C9" s="54" t="s">
        <v>42</v>
      </c>
      <c r="D9" s="68" t="s">
        <v>42</v>
      </c>
      <c r="E9" s="56" t="s">
        <v>357</v>
      </c>
      <c r="F9" s="56" t="s">
        <v>107</v>
      </c>
      <c r="G9" s="64">
        <f t="shared" si="0"/>
        <v>17191.2</v>
      </c>
      <c r="H9" s="64">
        <v>16758.3</v>
      </c>
      <c r="I9" s="57">
        <v>26448</v>
      </c>
      <c r="J9" s="57">
        <v>25782</v>
      </c>
      <c r="K9" s="58">
        <v>39458</v>
      </c>
      <c r="L9" s="57">
        <v>12896</v>
      </c>
      <c r="M9" s="58">
        <v>10666</v>
      </c>
      <c r="N9" s="58">
        <v>13703</v>
      </c>
      <c r="O9" s="57">
        <v>6550</v>
      </c>
      <c r="P9" s="58">
        <v>6550</v>
      </c>
      <c r="Q9" s="58">
        <v>17178</v>
      </c>
      <c r="R9" s="57">
        <v>1020</v>
      </c>
      <c r="S9" s="58">
        <v>1020</v>
      </c>
      <c r="T9" s="58">
        <v>1206</v>
      </c>
      <c r="U9" s="59">
        <f t="shared" si="1"/>
        <v>26550</v>
      </c>
      <c r="V9" s="59">
        <f t="shared" si="2"/>
        <v>13551</v>
      </c>
      <c r="W9" s="59">
        <f>SUM(U9*'Factors &amp; Percentages'!$E$6+V9*'Factors &amp; Percentages'!$E$7)</f>
        <v>3474.0653285645608</v>
      </c>
      <c r="X9" s="60">
        <v>0.8</v>
      </c>
      <c r="Y9" s="59">
        <f>X9*'Factors &amp; Percentages'!$E$10</f>
        <v>11328.775429047688</v>
      </c>
      <c r="Z9" s="61">
        <v>3.6451119049354816E-2</v>
      </c>
      <c r="AA9" s="59">
        <f>+'Factors &amp; Percentages'!E$13*Z9</f>
        <v>6075.4593312656043</v>
      </c>
      <c r="AB9" s="62">
        <v>25</v>
      </c>
      <c r="AC9" s="85">
        <v>54</v>
      </c>
      <c r="AD9" s="63">
        <v>13871</v>
      </c>
      <c r="AE9" s="59">
        <f>AB9*'Factors &amp; Percentages'!$E$16+AC9*'Factors &amp; Percentages'!$E$17+AD9*'Factors &amp; Percentages'!$E$18</f>
        <v>7775.5556200671872</v>
      </c>
      <c r="AF9" s="59">
        <f t="shared" si="3"/>
        <v>28653.855708945041</v>
      </c>
      <c r="AG9" s="65">
        <f t="shared" si="4"/>
        <v>17191.2</v>
      </c>
      <c r="AH9" s="64">
        <f>IF($AL9&gt;$AF9,$AL9*(1+'Factors &amp; Percentages'!$B$3),
IF($AF9&gt;$AG9,$AG9,
IF($AF9&gt;$BOJ9,$AF9,
$AL9*(1+'Factors &amp; Percentages'!$B$3))))</f>
        <v>17191.2</v>
      </c>
      <c r="AI9" s="64">
        <f>IF(+MIN(AH9,+X9*2*AK$1)-(AL9*(1+'Factors &amp; Percentages'!B$3))&gt;0,0,+MIN(AH9,+X9*2*AK$1)-(AL9*(1+'Factors &amp; Percentages'!B$3)))</f>
        <v>0</v>
      </c>
      <c r="AJ9" s="64">
        <f t="shared" si="5"/>
        <v>17191.2</v>
      </c>
      <c r="AK9" s="65"/>
      <c r="AL9" s="66">
        <v>12000</v>
      </c>
    </row>
    <row r="10" spans="1:38" hidden="1" x14ac:dyDescent="0.25">
      <c r="A10" s="39">
        <v>130346</v>
      </c>
      <c r="B10" s="40" t="s">
        <v>10</v>
      </c>
      <c r="C10" s="40" t="s">
        <v>10</v>
      </c>
      <c r="D10" s="41" t="s">
        <v>10</v>
      </c>
      <c r="E10" s="42" t="s">
        <v>237</v>
      </c>
      <c r="F10" s="42" t="s">
        <v>237</v>
      </c>
      <c r="G10" s="26">
        <f t="shared" si="0"/>
        <v>41205.15</v>
      </c>
      <c r="H10" s="26">
        <v>43110.9</v>
      </c>
      <c r="I10" s="43">
        <v>48635</v>
      </c>
      <c r="J10" s="43">
        <v>61546</v>
      </c>
      <c r="K10" s="44">
        <v>71417</v>
      </c>
      <c r="L10" s="43">
        <v>18610</v>
      </c>
      <c r="M10" s="44">
        <v>57577</v>
      </c>
      <c r="N10" s="44">
        <v>92454</v>
      </c>
      <c r="O10" s="43">
        <v>35007</v>
      </c>
      <c r="P10" s="44">
        <v>37367</v>
      </c>
      <c r="Q10" s="44">
        <v>63654</v>
      </c>
      <c r="R10" s="43">
        <v>36122</v>
      </c>
      <c r="S10" s="44">
        <v>22576</v>
      </c>
      <c r="T10" s="44">
        <v>17420</v>
      </c>
      <c r="U10" s="45">
        <f t="shared" si="1"/>
        <v>52247.199999999997</v>
      </c>
      <c r="V10" s="45">
        <f t="shared" si="2"/>
        <v>22110.7</v>
      </c>
      <c r="W10" s="45">
        <f>SUM(U10*'Factors &amp; Percentages'!$E$6+V10*'Factors &amp; Percentages'!$E$7)</f>
        <v>6516.8972347955641</v>
      </c>
      <c r="X10" s="46">
        <v>1</v>
      </c>
      <c r="Y10" s="45">
        <f>X10*'Factors &amp; Percentages'!$E$10</f>
        <v>14160.96928630961</v>
      </c>
      <c r="Z10" s="47">
        <v>2.6522947654310507E-2</v>
      </c>
      <c r="AA10" s="45">
        <f>+'Factors &amp; Percentages'!E$13*Z10</f>
        <v>4420.6897900958156</v>
      </c>
      <c r="AB10" s="48">
        <v>46</v>
      </c>
      <c r="AC10" s="49">
        <v>81</v>
      </c>
      <c r="AD10" s="50">
        <v>19198</v>
      </c>
      <c r="AE10" s="45">
        <f>AB10*'Factors &amp; Percentages'!$E$16+AC10*'Factors &amp; Percentages'!$E$17+AD10*'Factors &amp; Percentages'!$E$18</f>
        <v>12451.166232077618</v>
      </c>
      <c r="AF10" s="45">
        <f t="shared" si="3"/>
        <v>37549.722543278607</v>
      </c>
      <c r="AG10" s="51">
        <f t="shared" si="4"/>
        <v>31612.75</v>
      </c>
      <c r="AH10" s="26">
        <f>IF($AL10&gt;$AF10,$AL10*(1+'Factors &amp; Percentages'!$B$3),
IF($AF10&gt;$AG10,$AG10,
IF($AF10&gt;$BOJ10,$AF10,
$AL10*(1+'Factors &amp; Percentages'!$B$3))))</f>
        <v>41205.15</v>
      </c>
      <c r="AI10" s="26">
        <f>IF(+MIN(AH10,+X10*2*AK$1)-(AL10*(1+'Factors &amp; Percentages'!B$3))&gt;0,0,+MIN(AH10,+X10*2*AK$1)-(AL10*(1+'Factors &amp; Percentages'!B$3)))</f>
        <v>0</v>
      </c>
      <c r="AJ10" s="26">
        <f t="shared" si="5"/>
        <v>41205.15</v>
      </c>
      <c r="AK10" s="51"/>
      <c r="AL10" s="52">
        <v>40005</v>
      </c>
    </row>
    <row r="11" spans="1:38" x14ac:dyDescent="0.25">
      <c r="A11" s="53">
        <v>130157</v>
      </c>
      <c r="B11" s="54" t="s">
        <v>370</v>
      </c>
      <c r="C11" s="54" t="s">
        <v>265</v>
      </c>
      <c r="D11" s="55" t="s">
        <v>189</v>
      </c>
      <c r="E11" s="56" t="s">
        <v>357</v>
      </c>
      <c r="F11" s="56" t="s">
        <v>249</v>
      </c>
      <c r="G11" s="64">
        <f t="shared" si="0"/>
        <v>55329.221568416018</v>
      </c>
      <c r="H11" s="64">
        <v>51245.951133281444</v>
      </c>
      <c r="I11" s="57">
        <v>136024</v>
      </c>
      <c r="J11" s="57">
        <v>127338</v>
      </c>
      <c r="K11" s="58">
        <v>118659</v>
      </c>
      <c r="L11" s="57">
        <v>97503</v>
      </c>
      <c r="M11" s="58">
        <v>85506</v>
      </c>
      <c r="N11" s="58">
        <v>63959</v>
      </c>
      <c r="O11" s="57">
        <v>47180</v>
      </c>
      <c r="P11" s="58">
        <v>38313</v>
      </c>
      <c r="Q11" s="58">
        <v>35710</v>
      </c>
      <c r="R11" s="57">
        <v>7410</v>
      </c>
      <c r="S11" s="58">
        <v>1819</v>
      </c>
      <c r="T11" s="58">
        <v>816</v>
      </c>
      <c r="U11" s="59">
        <f t="shared" si="1"/>
        <v>136765</v>
      </c>
      <c r="V11" s="59">
        <f t="shared" si="2"/>
        <v>102221</v>
      </c>
      <c r="W11" s="59">
        <f>SUM(U11*'Factors &amp; Percentages'!$E$6+V11*'Factors &amp; Percentages'!$E$7)</f>
        <v>20170.000821335754</v>
      </c>
      <c r="X11" s="60">
        <v>1</v>
      </c>
      <c r="Y11" s="59">
        <f>X11*'Factors &amp; Percentages'!$E$10</f>
        <v>14160.96928630961</v>
      </c>
      <c r="Z11" s="61">
        <v>3.6497282777297232E-2</v>
      </c>
      <c r="AA11" s="59">
        <f>+'Factors &amp; Percentages'!E$13*Z11</f>
        <v>6083.1536314409705</v>
      </c>
      <c r="AB11" s="62">
        <v>75</v>
      </c>
      <c r="AC11" s="85">
        <v>106</v>
      </c>
      <c r="AD11" s="63">
        <v>9809</v>
      </c>
      <c r="AE11" s="59">
        <f>AB11*'Factors &amp; Percentages'!$E$16+AC11*'Factors &amp; Percentages'!$E$17+AD11*'Factors &amp; Percentages'!$E$18</f>
        <v>14915.097829329685</v>
      </c>
      <c r="AF11" s="59">
        <f t="shared" si="3"/>
        <v>55329.221568416018</v>
      </c>
      <c r="AG11" s="65">
        <f t="shared" si="4"/>
        <v>55329.221568416018</v>
      </c>
      <c r="AH11" s="64">
        <f>IF($AL11&gt;$AF11,$AL11*(1+'Factors &amp; Percentages'!$B$3),
IF($AF11&gt;$AG11,$AG11,
IF($AF11&gt;$BOJ11,$AF11,
$AL11*(1+'Factors &amp; Percentages'!$B$3))))</f>
        <v>55329.221568416018</v>
      </c>
      <c r="AI11" s="64">
        <f>IF(+MIN(AH11,+X11*2*AK$1)-(AL11*(1+'Factors &amp; Percentages'!B$3))&gt;0,0,+MIN(AH11,+X11*2*AK$1)-(AL11*(1+'Factors &amp; Percentages'!B$3)))</f>
        <v>0</v>
      </c>
      <c r="AJ11" s="64">
        <f t="shared" si="5"/>
        <v>55329.221568416018</v>
      </c>
      <c r="AK11" s="65"/>
      <c r="AL11" s="66">
        <v>30000</v>
      </c>
    </row>
    <row r="12" spans="1:38" x14ac:dyDescent="0.25">
      <c r="A12" s="39">
        <v>130160</v>
      </c>
      <c r="B12" s="40" t="s">
        <v>371</v>
      </c>
      <c r="C12" s="40" t="s">
        <v>266</v>
      </c>
      <c r="D12" s="41" t="s">
        <v>190</v>
      </c>
      <c r="E12" s="42" t="s">
        <v>357</v>
      </c>
      <c r="F12" s="42" t="s">
        <v>249</v>
      </c>
      <c r="G12" s="26">
        <f t="shared" si="0"/>
        <v>24506.183846628384</v>
      </c>
      <c r="H12" s="26">
        <v>23495.807689560286</v>
      </c>
      <c r="I12" s="43">
        <v>37518</v>
      </c>
      <c r="J12" s="43">
        <v>37518</v>
      </c>
      <c r="K12" s="44">
        <v>37518</v>
      </c>
      <c r="L12" s="43">
        <v>47615</v>
      </c>
      <c r="M12" s="44">
        <v>47615</v>
      </c>
      <c r="N12" s="44">
        <v>47615</v>
      </c>
      <c r="O12" s="43">
        <v>0</v>
      </c>
      <c r="P12" s="44">
        <v>0</v>
      </c>
      <c r="Q12" s="44">
        <v>0</v>
      </c>
      <c r="R12" s="43">
        <v>0</v>
      </c>
      <c r="S12" s="44">
        <v>0</v>
      </c>
      <c r="T12" s="44">
        <v>0</v>
      </c>
      <c r="U12" s="45">
        <f t="shared" si="1"/>
        <v>37518</v>
      </c>
      <c r="V12" s="45">
        <f t="shared" si="2"/>
        <v>47615</v>
      </c>
      <c r="W12" s="45">
        <f>SUM(U12*'Factors &amp; Percentages'!$E$6+V12*'Factors &amp; Percentages'!$E$7)</f>
        <v>6906.3581630078243</v>
      </c>
      <c r="X12" s="46">
        <v>0.5</v>
      </c>
      <c r="Y12" s="45">
        <f>X12*'Factors &amp; Percentages'!$E$10</f>
        <v>7080.4846431548049</v>
      </c>
      <c r="Z12" s="47">
        <v>2.7076863091257154E-2</v>
      </c>
      <c r="AA12" s="45">
        <f>+'Factors &amp; Percentages'!E$13*Z12</f>
        <v>4513.0131754375107</v>
      </c>
      <c r="AB12" s="48">
        <v>30</v>
      </c>
      <c r="AC12" s="49">
        <v>52</v>
      </c>
      <c r="AD12" s="50">
        <v>3000</v>
      </c>
      <c r="AE12" s="45">
        <f>AB12*'Factors &amp; Percentages'!$E$16+AC12*'Factors &amp; Percentages'!$E$17+AD12*'Factors &amp; Percentages'!$E$18</f>
        <v>6006.3278650282446</v>
      </c>
      <c r="AF12" s="45">
        <f t="shared" si="3"/>
        <v>24506.183846628384</v>
      </c>
      <c r="AG12" s="51">
        <f t="shared" si="4"/>
        <v>24506.183846628384</v>
      </c>
      <c r="AH12" s="26">
        <f>IF($AL12&gt;$AF12,$AL12*(1+'Factors &amp; Percentages'!$B$3),
IF($AF12&gt;$AG12,$AG12,
IF($AF12&gt;$BOJ12,$AF12,
$AL12*(1+'Factors &amp; Percentages'!$B$3))))</f>
        <v>24506.183846628384</v>
      </c>
      <c r="AI12" s="26">
        <f>IF(+MIN(AH12,+X12*2*AK$1)-(AL12*(1+'Factors &amp; Percentages'!B$3))&gt;0,0,+MIN(AH12,+X12*2*AK$1)-(AL12*(1+'Factors &amp; Percentages'!B$3)))</f>
        <v>0</v>
      </c>
      <c r="AJ12" s="26">
        <f t="shared" si="5"/>
        <v>24506.183846628384</v>
      </c>
      <c r="AK12" s="51"/>
      <c r="AL12" s="52">
        <v>5000</v>
      </c>
    </row>
    <row r="13" spans="1:38" x14ac:dyDescent="0.25">
      <c r="A13" s="53">
        <v>130164</v>
      </c>
      <c r="B13" s="54" t="s">
        <v>372</v>
      </c>
      <c r="C13" s="54" t="s">
        <v>267</v>
      </c>
      <c r="D13" s="55" t="s">
        <v>191</v>
      </c>
      <c r="E13" s="56" t="s">
        <v>357</v>
      </c>
      <c r="F13" s="56" t="s">
        <v>249</v>
      </c>
      <c r="G13" s="64">
        <f t="shared" si="0"/>
        <v>41077.961709415729</v>
      </c>
      <c r="H13" s="64">
        <v>40859.175197413337</v>
      </c>
      <c r="I13" s="57">
        <v>48337</v>
      </c>
      <c r="J13" s="57">
        <v>49076</v>
      </c>
      <c r="K13" s="58">
        <v>43915</v>
      </c>
      <c r="L13" s="57">
        <v>54053</v>
      </c>
      <c r="M13" s="58">
        <v>61115</v>
      </c>
      <c r="N13" s="58">
        <v>75771</v>
      </c>
      <c r="O13" s="57">
        <v>28787</v>
      </c>
      <c r="P13" s="58">
        <v>1507</v>
      </c>
      <c r="Q13" s="58">
        <v>1596</v>
      </c>
      <c r="R13" s="57">
        <v>13516</v>
      </c>
      <c r="S13" s="58">
        <v>839</v>
      </c>
      <c r="T13" s="58">
        <v>1216</v>
      </c>
      <c r="U13" s="59">
        <f t="shared" si="1"/>
        <v>49688.6</v>
      </c>
      <c r="V13" s="59">
        <f t="shared" si="2"/>
        <v>56931.7</v>
      </c>
      <c r="W13" s="59">
        <f>SUM(U13*'Factors &amp; Percentages'!$E$6+V13*'Factors &amp; Percentages'!$E$7)</f>
        <v>8716.7139885065935</v>
      </c>
      <c r="X13" s="60">
        <v>1</v>
      </c>
      <c r="Y13" s="59">
        <f>X13*'Factors &amp; Percentages'!$E$10</f>
        <v>14160.96928630961</v>
      </c>
      <c r="Z13" s="61">
        <v>5.068372342905799E-2</v>
      </c>
      <c r="AA13" s="59">
        <f>+'Factors &amp; Percentages'!E$13*Z13</f>
        <v>8447.6665869550525</v>
      </c>
      <c r="AB13" s="62">
        <v>38</v>
      </c>
      <c r="AC13" s="85">
        <v>71</v>
      </c>
      <c r="AD13" s="63">
        <v>12963</v>
      </c>
      <c r="AE13" s="59">
        <f>AB13*'Factors &amp; Percentages'!$E$16+AC13*'Factors &amp; Percentages'!$E$17+AD13*'Factors &amp; Percentages'!$E$18</f>
        <v>9752.6118476444753</v>
      </c>
      <c r="AF13" s="59">
        <f t="shared" si="3"/>
        <v>41077.961709415729</v>
      </c>
      <c r="AG13" s="65">
        <f t="shared" si="4"/>
        <v>41077.961709415729</v>
      </c>
      <c r="AH13" s="64">
        <f>IF($AL13&gt;$AF13,$AL13*(1+'Factors &amp; Percentages'!$B$3),
IF($AF13&gt;$AG13,$AG13,
IF($AF13&gt;$BOJ13,$AF13,
$AL13*(1+'Factors &amp; Percentages'!$B$3))))</f>
        <v>41077.961709415729</v>
      </c>
      <c r="AI13" s="64">
        <f>IF(+MIN(AH13,+X13*2*AK$1)-(AL13*(1+'Factors &amp; Percentages'!B$3))&gt;0,0,+MIN(AH13,+X13*2*AK$1)-(AL13*(1+'Factors &amp; Percentages'!B$3)))</f>
        <v>0</v>
      </c>
      <c r="AJ13" s="64">
        <f t="shared" si="5"/>
        <v>41077.961709415729</v>
      </c>
      <c r="AK13" s="65"/>
      <c r="AL13" s="66">
        <v>32687</v>
      </c>
    </row>
    <row r="14" spans="1:38" x14ac:dyDescent="0.25">
      <c r="A14" s="39">
        <v>130156</v>
      </c>
      <c r="B14" s="40" t="s">
        <v>373</v>
      </c>
      <c r="C14" s="40" t="s">
        <v>268</v>
      </c>
      <c r="D14" s="41" t="s">
        <v>192</v>
      </c>
      <c r="E14" s="42" t="s">
        <v>357</v>
      </c>
      <c r="F14" s="42" t="s">
        <v>249</v>
      </c>
      <c r="G14" s="26">
        <f t="shared" si="0"/>
        <v>12307.1</v>
      </c>
      <c r="H14" s="26">
        <v>8252.4</v>
      </c>
      <c r="I14" s="43">
        <v>18934</v>
      </c>
      <c r="J14" s="43">
        <v>12696</v>
      </c>
      <c r="K14" s="44">
        <v>6224</v>
      </c>
      <c r="L14" s="43">
        <v>5773</v>
      </c>
      <c r="M14" s="44">
        <v>6021</v>
      </c>
      <c r="N14" s="44">
        <v>5194</v>
      </c>
      <c r="O14" s="43">
        <v>-3251</v>
      </c>
      <c r="P14" s="44">
        <v>17284</v>
      </c>
      <c r="Q14" s="44">
        <v>36250</v>
      </c>
      <c r="R14" s="43">
        <v>11084</v>
      </c>
      <c r="S14" s="44">
        <v>11005</v>
      </c>
      <c r="T14" s="44">
        <v>13235</v>
      </c>
      <c r="U14" s="45">
        <f t="shared" si="1"/>
        <v>20042.400000000001</v>
      </c>
      <c r="V14" s="45">
        <f t="shared" si="2"/>
        <v>5447.9</v>
      </c>
      <c r="W14" s="45">
        <f>SUM(U14*'Factors &amp; Percentages'!$E$6+V14*'Factors &amp; Percentages'!$E$7)</f>
        <v>2287.0729315155932</v>
      </c>
      <c r="X14" s="46">
        <v>0.5</v>
      </c>
      <c r="Y14" s="45">
        <f>X14*'Factors &amp; Percentages'!$E$10</f>
        <v>7080.4846431548049</v>
      </c>
      <c r="Z14" s="47">
        <v>2.1936703834755197E-2</v>
      </c>
      <c r="AA14" s="45">
        <f>+'Factors &amp; Percentages'!E$13*Z14</f>
        <v>3656.2814938443544</v>
      </c>
      <c r="AB14" s="48">
        <v>15</v>
      </c>
      <c r="AC14" s="49">
        <v>32</v>
      </c>
      <c r="AD14" s="50">
        <v>6187</v>
      </c>
      <c r="AE14" s="45">
        <f>AB14*'Factors &amp; Percentages'!$E$16+AC14*'Factors &amp; Percentages'!$E$17+AD14*'Factors &amp; Percentages'!$E$18</f>
        <v>4185.684587443955</v>
      </c>
      <c r="AF14" s="45">
        <f t="shared" si="3"/>
        <v>17209.523655958707</v>
      </c>
      <c r="AG14" s="51">
        <f t="shared" si="4"/>
        <v>12307.1</v>
      </c>
      <c r="AH14" s="26">
        <f>IF($AL14&gt;$AF14,$AL14*(1+'Factors &amp; Percentages'!$B$3),
IF($AF14&gt;$AG14,$AG14,
IF($AF14&gt;$BOJ14,$AF14,
$AL14*(1+'Factors &amp; Percentages'!$B$3))))</f>
        <v>12307.1</v>
      </c>
      <c r="AI14" s="26">
        <f>IF(+MIN(AH14,+X14*2*AK$1)-(AL14*(1+'Factors &amp; Percentages'!B$3))&gt;0,0,+MIN(AH14,+X14*2*AK$1)-(AL14*(1+'Factors &amp; Percentages'!B$3)))</f>
        <v>0</v>
      </c>
      <c r="AJ14" s="26">
        <f t="shared" si="5"/>
        <v>12307.1</v>
      </c>
      <c r="AK14" s="51"/>
      <c r="AL14" s="52">
        <v>6000</v>
      </c>
    </row>
    <row r="15" spans="1:38" x14ac:dyDescent="0.25">
      <c r="A15" s="53">
        <v>130039</v>
      </c>
      <c r="B15" s="54" t="s">
        <v>374</v>
      </c>
      <c r="C15" s="54" t="s">
        <v>269</v>
      </c>
      <c r="D15" s="55" t="s">
        <v>229</v>
      </c>
      <c r="E15" s="56" t="s">
        <v>357</v>
      </c>
      <c r="F15" s="56" t="s">
        <v>95</v>
      </c>
      <c r="G15" s="64">
        <f t="shared" si="0"/>
        <v>21945.232562574532</v>
      </c>
      <c r="H15" s="64">
        <v>20952.75</v>
      </c>
      <c r="I15" s="57">
        <v>27696</v>
      </c>
      <c r="J15" s="57">
        <v>33335</v>
      </c>
      <c r="K15" s="58">
        <v>36623</v>
      </c>
      <c r="L15" s="57">
        <v>33116</v>
      </c>
      <c r="M15" s="58">
        <v>42450</v>
      </c>
      <c r="N15" s="58">
        <v>42724</v>
      </c>
      <c r="O15" s="57">
        <v>10818</v>
      </c>
      <c r="P15" s="58">
        <v>11829</v>
      </c>
      <c r="Q15" s="58">
        <v>11416</v>
      </c>
      <c r="R15" s="57">
        <v>6580</v>
      </c>
      <c r="S15" s="58">
        <v>3270</v>
      </c>
      <c r="T15" s="58">
        <v>0</v>
      </c>
      <c r="U15" s="59">
        <f t="shared" si="1"/>
        <v>28354</v>
      </c>
      <c r="V15" s="59">
        <f t="shared" si="2"/>
        <v>34197.800000000003</v>
      </c>
      <c r="W15" s="59">
        <f>SUM(U15*'Factors &amp; Percentages'!$E$6+V15*'Factors &amp; Percentages'!$E$7)</f>
        <v>5094.0686310175606</v>
      </c>
      <c r="X15" s="60">
        <v>0.5</v>
      </c>
      <c r="Y15" s="59">
        <f>X15*'Factors &amp; Percentages'!$E$10</f>
        <v>7080.4846431548049</v>
      </c>
      <c r="Z15" s="61">
        <v>2.4848856828341613E-2</v>
      </c>
      <c r="AA15" s="59">
        <f>+'Factors &amp; Percentages'!E$13*Z15</f>
        <v>4141.6621224884784</v>
      </c>
      <c r="AB15" s="62">
        <v>24</v>
      </c>
      <c r="AC15" s="85">
        <v>41</v>
      </c>
      <c r="AD15" s="63">
        <v>6217</v>
      </c>
      <c r="AE15" s="59">
        <f>AB15*'Factors &amp; Percentages'!$E$16+AC15*'Factors &amp; Percentages'!$E$17+AD15*'Factors &amp; Percentages'!$E$18</f>
        <v>5629.0171659136895</v>
      </c>
      <c r="AF15" s="59">
        <f t="shared" si="3"/>
        <v>21945.232562574532</v>
      </c>
      <c r="AG15" s="65">
        <f t="shared" si="4"/>
        <v>21945.232562574532</v>
      </c>
      <c r="AH15" s="64">
        <f>IF($AL15&gt;$AF15,$AL15*(1+'Factors &amp; Percentages'!$B$3),
IF($AF15&gt;$AG15,$AG15,
IF($AF15&gt;$BOJ15,$AF15,
$AL15*(1+'Factors &amp; Percentages'!$B$3))))</f>
        <v>21945.232562574532</v>
      </c>
      <c r="AI15" s="64">
        <f>IF(+MIN(AH15,+X15*2*AK$1)-(AL15*(1+'Factors &amp; Percentages'!B$3))&gt;0,0,+MIN(AH15,+X15*2*AK$1)-(AL15*(1+'Factors &amp; Percentages'!B$3)))</f>
        <v>0</v>
      </c>
      <c r="AJ15" s="64">
        <f t="shared" si="5"/>
        <v>21945.232562574532</v>
      </c>
      <c r="AK15" s="65"/>
      <c r="AL15" s="66">
        <v>20454</v>
      </c>
    </row>
    <row r="16" spans="1:38" hidden="1" x14ac:dyDescent="0.25">
      <c r="A16" s="39">
        <v>130231</v>
      </c>
      <c r="B16" s="40" t="s">
        <v>375</v>
      </c>
      <c r="C16" s="40" t="s">
        <v>270</v>
      </c>
      <c r="D16" s="41" t="s">
        <v>57</v>
      </c>
      <c r="E16" s="42" t="s">
        <v>237</v>
      </c>
      <c r="F16" s="42" t="s">
        <v>360</v>
      </c>
      <c r="G16" s="26">
        <f t="shared" si="0"/>
        <v>64944.819067122437</v>
      </c>
      <c r="H16" s="26">
        <v>62466.54518546912</v>
      </c>
      <c r="I16" s="43">
        <v>110479</v>
      </c>
      <c r="J16" s="43">
        <v>101646</v>
      </c>
      <c r="K16" s="44">
        <v>106065</v>
      </c>
      <c r="L16" s="43">
        <v>58413</v>
      </c>
      <c r="M16" s="44">
        <v>54780</v>
      </c>
      <c r="N16" s="44">
        <v>66055</v>
      </c>
      <c r="O16" s="43">
        <v>90125</v>
      </c>
      <c r="P16" s="44">
        <v>68739</v>
      </c>
      <c r="Q16" s="44">
        <v>54216</v>
      </c>
      <c r="R16" s="43">
        <v>87373</v>
      </c>
      <c r="S16" s="44">
        <v>112789</v>
      </c>
      <c r="T16" s="44">
        <v>48662</v>
      </c>
      <c r="U16" s="45">
        <f t="shared" si="1"/>
        <v>119216.3</v>
      </c>
      <c r="V16" s="45">
        <f t="shared" si="2"/>
        <v>67425.5</v>
      </c>
      <c r="W16" s="45">
        <f>SUM(U16*'Factors &amp; Percentages'!$E$6+V16*'Factors &amp; Percentages'!$E$7)</f>
        <v>16060.948546663356</v>
      </c>
      <c r="X16" s="46">
        <v>0.9</v>
      </c>
      <c r="Y16" s="45">
        <f>X16*'Factors &amp; Percentages'!$E$10</f>
        <v>12744.872357678649</v>
      </c>
      <c r="Z16" s="47">
        <v>0.13862895958965829</v>
      </c>
      <c r="AA16" s="45">
        <f>+'Factors &amp; Percentages'!E$13*Z16</f>
        <v>23105.864184368282</v>
      </c>
      <c r="AB16" s="48">
        <v>65</v>
      </c>
      <c r="AC16" s="49">
        <v>106</v>
      </c>
      <c r="AD16" s="50">
        <v>7357</v>
      </c>
      <c r="AE16" s="45">
        <f>AB16*'Factors &amp; Percentages'!$E$16+AC16*'Factors &amp; Percentages'!$E$17+AD16*'Factors &amp; Percentages'!$E$18</f>
        <v>13033.133978412146</v>
      </c>
      <c r="AF16" s="45">
        <f t="shared" si="3"/>
        <v>64944.819067122437</v>
      </c>
      <c r="AG16" s="51">
        <f t="shared" si="4"/>
        <v>64944.819067122437</v>
      </c>
      <c r="AH16" s="26">
        <f>IF($AL16&gt;$AF16,$AL16*(1+'Factors &amp; Percentages'!$B$3),
IF($AF16&gt;$AG16,$AG16,
IF($AF16&gt;$BOJ16,$AF16,
$AL16*(1+'Factors &amp; Percentages'!$B$3))))</f>
        <v>64944.819067122437</v>
      </c>
      <c r="AI16" s="26">
        <f>IF(+MIN(AH16,+X16*2*AK$1)-(AL16*(1+'Factors &amp; Percentages'!B$3))&gt;0,0,+MIN(AH16,+X16*2*AK$1)-(AL16*(1+'Factors &amp; Percentages'!B$3)))</f>
        <v>0</v>
      </c>
      <c r="AJ16" s="26">
        <f t="shared" si="5"/>
        <v>64944.819067122437</v>
      </c>
      <c r="AK16" s="51"/>
      <c r="AL16" s="52">
        <v>52500</v>
      </c>
    </row>
    <row r="17" spans="1:38" x14ac:dyDescent="0.25">
      <c r="A17" s="53">
        <v>130351</v>
      </c>
      <c r="B17" s="54" t="s">
        <v>271</v>
      </c>
      <c r="C17" s="54" t="s">
        <v>271</v>
      </c>
      <c r="D17" s="55" t="s">
        <v>225</v>
      </c>
      <c r="E17" s="56" t="s">
        <v>357</v>
      </c>
      <c r="F17" s="56" t="s">
        <v>361</v>
      </c>
      <c r="G17" s="64">
        <f t="shared" si="0"/>
        <v>33771.357763168373</v>
      </c>
      <c r="H17" s="64">
        <v>32149.855452644028</v>
      </c>
      <c r="I17" s="57">
        <v>32913</v>
      </c>
      <c r="J17" s="57">
        <v>34113</v>
      </c>
      <c r="K17" s="58">
        <v>49588</v>
      </c>
      <c r="L17" s="57">
        <v>88832</v>
      </c>
      <c r="M17" s="58">
        <v>71944</v>
      </c>
      <c r="N17" s="58">
        <v>109403</v>
      </c>
      <c r="O17" s="57">
        <v>2573</v>
      </c>
      <c r="P17" s="58">
        <v>2461</v>
      </c>
      <c r="Q17" s="58">
        <v>2169</v>
      </c>
      <c r="R17" s="57">
        <v>0</v>
      </c>
      <c r="S17" s="58">
        <v>0</v>
      </c>
      <c r="T17" s="58">
        <v>90</v>
      </c>
      <c r="U17" s="59">
        <f t="shared" si="1"/>
        <v>32913</v>
      </c>
      <c r="V17" s="59">
        <f t="shared" si="2"/>
        <v>89089.3</v>
      </c>
      <c r="W17" s="59">
        <f>SUM(U17*'Factors &amp; Percentages'!$E$6+V17*'Factors &amp; Percentages'!$E$7)</f>
        <v>9378.467955973525</v>
      </c>
      <c r="X17" s="60">
        <v>0.5</v>
      </c>
      <c r="Y17" s="59">
        <f>X17*'Factors &amp; Percentages'!$E$10</f>
        <v>7080.4846431548049</v>
      </c>
      <c r="Z17" s="61">
        <v>6.7898342601457093E-2</v>
      </c>
      <c r="AA17" s="59">
        <f>+'Factors &amp; Percentages'!E$13*Z17</f>
        <v>11316.898627363071</v>
      </c>
      <c r="AB17" s="62">
        <v>28</v>
      </c>
      <c r="AC17" s="85">
        <v>40</v>
      </c>
      <c r="AD17" s="63">
        <v>5556</v>
      </c>
      <c r="AE17" s="59">
        <f>AB17*'Factors &amp; Percentages'!$E$16+AC17*'Factors &amp; Percentages'!$E$17+AD17*'Factors &amp; Percentages'!$E$18</f>
        <v>5995.5065366769732</v>
      </c>
      <c r="AF17" s="59">
        <f t="shared" si="3"/>
        <v>33771.357763168373</v>
      </c>
      <c r="AG17" s="65">
        <f t="shared" si="4"/>
        <v>33771.357763168373</v>
      </c>
      <c r="AH17" s="64">
        <f>IF($AL17&gt;$AF17,$AL17*(1+'Factors &amp; Percentages'!$B$3),
IF($AF17&gt;$AG17,$AG17,
IF($AF17&gt;$BOJ17,$AF17,
$AL17*(1+'Factors &amp; Percentages'!$B$3))))</f>
        <v>33771.357763168373</v>
      </c>
      <c r="AI17" s="64">
        <f>IF(+MIN(AH17,+X17*2*AK$1)-(AL17*(1+'Factors &amp; Percentages'!B$3))&gt;0,0,+MIN(AH17,+X17*2*AK$1)-(AL17*(1+'Factors &amp; Percentages'!B$3)))</f>
        <v>0</v>
      </c>
      <c r="AJ17" s="64">
        <f t="shared" si="5"/>
        <v>33771.357763168373</v>
      </c>
      <c r="AK17" s="65"/>
      <c r="AL17" s="66">
        <v>13200</v>
      </c>
    </row>
    <row r="18" spans="1:38" x14ac:dyDescent="0.25">
      <c r="A18" s="39">
        <v>130107</v>
      </c>
      <c r="B18" s="40" t="s">
        <v>139</v>
      </c>
      <c r="C18" s="40" t="s">
        <v>139</v>
      </c>
      <c r="D18" s="41" t="s">
        <v>452</v>
      </c>
      <c r="E18" s="42" t="s">
        <v>357</v>
      </c>
      <c r="F18" s="42" t="s">
        <v>362</v>
      </c>
      <c r="G18" s="26">
        <f t="shared" si="0"/>
        <v>19607.900000000001</v>
      </c>
      <c r="H18" s="26">
        <v>13549.9</v>
      </c>
      <c r="I18" s="43">
        <v>30166</v>
      </c>
      <c r="J18" s="43">
        <v>20846</v>
      </c>
      <c r="K18" s="44">
        <v>23707</v>
      </c>
      <c r="L18" s="43">
        <v>4520</v>
      </c>
      <c r="M18" s="44">
        <v>2812</v>
      </c>
      <c r="N18" s="44">
        <v>2999</v>
      </c>
      <c r="O18" s="43">
        <v>5208</v>
      </c>
      <c r="P18" s="44">
        <v>2172</v>
      </c>
      <c r="Q18" s="44">
        <v>300</v>
      </c>
      <c r="R18" s="43">
        <v>3237</v>
      </c>
      <c r="S18" s="44">
        <v>2000</v>
      </c>
      <c r="T18" s="44">
        <v>0</v>
      </c>
      <c r="U18" s="45">
        <f t="shared" si="1"/>
        <v>30489.7</v>
      </c>
      <c r="V18" s="45">
        <f t="shared" si="2"/>
        <v>5040.8</v>
      </c>
      <c r="W18" s="45">
        <f>SUM(U18*'Factors &amp; Percentages'!$E$6+V18*'Factors &amp; Percentages'!$E$7)</f>
        <v>3251.4367033740191</v>
      </c>
      <c r="X18" s="46">
        <v>0.33333333333333331</v>
      </c>
      <c r="Y18" s="45">
        <f>X18*'Factors &amp; Percentages'!$E$10</f>
        <v>4720.3230954365363</v>
      </c>
      <c r="Z18" s="47">
        <v>5.0264390695055991E-2</v>
      </c>
      <c r="AA18" s="45">
        <f>+'Factors &amp; Percentages'!E$13*Z18</f>
        <v>8377.7746594055006</v>
      </c>
      <c r="AB18" s="48">
        <v>20</v>
      </c>
      <c r="AC18" s="49">
        <v>27</v>
      </c>
      <c r="AD18" s="50">
        <v>3551</v>
      </c>
      <c r="AE18" s="45">
        <f>AB18*'Factors &amp; Percentages'!$E$16+AC18*'Factors &amp; Percentages'!$E$17+AD18*'Factors &amp; Percentages'!$E$18</f>
        <v>4150.8693491136164</v>
      </c>
      <c r="AF18" s="45">
        <f t="shared" si="3"/>
        <v>20500.403807329672</v>
      </c>
      <c r="AG18" s="51">
        <f t="shared" si="4"/>
        <v>19607.900000000001</v>
      </c>
      <c r="AH18" s="26">
        <f>IF($AL18&gt;$AF18,$AL18*(1+'Factors &amp; Percentages'!$B$3),
IF($AF18&gt;$AG18,$AG18,
IF($AF18&gt;$BOJ18,$AF18,
$AL18*(1+'Factors &amp; Percentages'!$B$3))))</f>
        <v>19607.900000000001</v>
      </c>
      <c r="AI18" s="26">
        <f>IF(+MIN(AH18,+X18*2*AK$1)-(AL18*(1+'Factors &amp; Percentages'!B$3))&gt;0,0,+MIN(AH18,+X18*2*AK$1)-(AL18*(1+'Factors &amp; Percentages'!B$3)))</f>
        <v>0</v>
      </c>
      <c r="AJ18" s="26">
        <f t="shared" si="5"/>
        <v>19607.900000000001</v>
      </c>
      <c r="AK18" s="51"/>
      <c r="AL18" s="52">
        <v>12000</v>
      </c>
    </row>
    <row r="19" spans="1:38" hidden="1" x14ac:dyDescent="0.25">
      <c r="A19" s="53">
        <v>130268</v>
      </c>
      <c r="B19" s="54" t="s">
        <v>272</v>
      </c>
      <c r="C19" s="54" t="s">
        <v>272</v>
      </c>
      <c r="D19" s="55" t="s">
        <v>241</v>
      </c>
      <c r="E19" s="56" t="s">
        <v>237</v>
      </c>
      <c r="F19" s="56" t="s">
        <v>237</v>
      </c>
      <c r="G19" s="64">
        <f t="shared" si="0"/>
        <v>24816.59418956334</v>
      </c>
      <c r="H19" s="64">
        <v>20710.3</v>
      </c>
      <c r="I19" s="57">
        <v>40522</v>
      </c>
      <c r="J19" s="57">
        <v>31862</v>
      </c>
      <c r="K19" s="58">
        <v>29662</v>
      </c>
      <c r="L19" s="57">
        <v>24703</v>
      </c>
      <c r="M19" s="58">
        <v>17865</v>
      </c>
      <c r="N19" s="58">
        <v>23763</v>
      </c>
      <c r="O19" s="57">
        <v>4860</v>
      </c>
      <c r="P19" s="58">
        <v>2000</v>
      </c>
      <c r="Q19" s="58">
        <v>2000</v>
      </c>
      <c r="R19" s="57">
        <v>7820</v>
      </c>
      <c r="S19" s="58">
        <v>0</v>
      </c>
      <c r="T19" s="58">
        <v>0</v>
      </c>
      <c r="U19" s="59">
        <f t="shared" si="1"/>
        <v>41304</v>
      </c>
      <c r="V19" s="59">
        <f t="shared" si="2"/>
        <v>25189</v>
      </c>
      <c r="W19" s="59">
        <f>SUM(U19*'Factors &amp; Percentages'!$E$6+V19*'Factors &amp; Percentages'!$E$7)</f>
        <v>5692.8098807171864</v>
      </c>
      <c r="X19" s="60">
        <v>0.5</v>
      </c>
      <c r="Y19" s="59">
        <f>X19*'Factors &amp; Percentages'!$E$10</f>
        <v>7080.4846431548049</v>
      </c>
      <c r="Z19" s="61">
        <v>3.7275600882686229E-2</v>
      </c>
      <c r="AA19" s="59">
        <f>+'Factors &amp; Percentages'!E$13*Z19</f>
        <v>6212.8791410933891</v>
      </c>
      <c r="AB19" s="62">
        <v>25</v>
      </c>
      <c r="AC19" s="85">
        <v>52</v>
      </c>
      <c r="AD19" s="63">
        <v>5254</v>
      </c>
      <c r="AE19" s="59">
        <f>AB19*'Factors &amp; Percentages'!$E$16+AC19*'Factors &amp; Percentages'!$E$17+AD19*'Factors &amp; Percentages'!$E$18</f>
        <v>5830.420524597961</v>
      </c>
      <c r="AF19" s="59">
        <f t="shared" si="3"/>
        <v>24816.59418956334</v>
      </c>
      <c r="AG19" s="65">
        <f t="shared" si="4"/>
        <v>24816.59418956334</v>
      </c>
      <c r="AH19" s="64">
        <f>IF($AL19&gt;$AF19,$AL19*(1+'Factors &amp; Percentages'!$B$3),
IF($AF19&gt;$AG19,$AG19,
IF($AF19&gt;$BOJ19,$AF19,
$AL19*(1+'Factors &amp; Percentages'!$B$3))))</f>
        <v>24816.59418956334</v>
      </c>
      <c r="AI19" s="64">
        <f>IF(+MIN(AH19,+X19*2*AK$1)-(AL19*(1+'Factors &amp; Percentages'!B$3))&gt;0,0,+MIN(AH19,+X19*2*AK$1)-(AL19*(1+'Factors &amp; Percentages'!B$3)))</f>
        <v>0</v>
      </c>
      <c r="AJ19" s="64">
        <f t="shared" si="5"/>
        <v>24816.59418956334</v>
      </c>
      <c r="AK19" s="65"/>
      <c r="AL19" s="66">
        <v>15500</v>
      </c>
    </row>
    <row r="20" spans="1:38" hidden="1" x14ac:dyDescent="0.25">
      <c r="A20" s="39">
        <v>130016</v>
      </c>
      <c r="B20" s="40" t="s">
        <v>74</v>
      </c>
      <c r="C20" s="40" t="s">
        <v>74</v>
      </c>
      <c r="D20" s="41" t="s">
        <v>74</v>
      </c>
      <c r="E20" s="42" t="s">
        <v>356</v>
      </c>
      <c r="F20" s="42" t="s">
        <v>356</v>
      </c>
      <c r="G20" s="26">
        <f t="shared" si="0"/>
        <v>34521.480000000003</v>
      </c>
      <c r="H20" s="26">
        <v>33516</v>
      </c>
      <c r="I20" s="43">
        <v>62253</v>
      </c>
      <c r="J20" s="43">
        <v>64346</v>
      </c>
      <c r="K20" s="44">
        <v>58021</v>
      </c>
      <c r="L20" s="43">
        <v>31228</v>
      </c>
      <c r="M20" s="44">
        <v>33668</v>
      </c>
      <c r="N20" s="44">
        <v>28952</v>
      </c>
      <c r="O20" s="43">
        <v>8237</v>
      </c>
      <c r="P20" s="44">
        <v>7044</v>
      </c>
      <c r="Q20" s="44">
        <v>6806</v>
      </c>
      <c r="R20" s="43">
        <v>4535</v>
      </c>
      <c r="S20" s="44">
        <v>1085</v>
      </c>
      <c r="T20" s="44">
        <v>1084</v>
      </c>
      <c r="U20" s="45">
        <f t="shared" si="1"/>
        <v>62706.5</v>
      </c>
      <c r="V20" s="45">
        <f t="shared" si="2"/>
        <v>32051.7</v>
      </c>
      <c r="W20" s="45">
        <f>SUM(U20*'Factors &amp; Percentages'!$E$6+V20*'Factors &amp; Percentages'!$E$7)</f>
        <v>8208.408788145387</v>
      </c>
      <c r="X20" s="46">
        <v>0.3</v>
      </c>
      <c r="Y20" s="45">
        <f>X20*'Factors &amp; Percentages'!$E$10</f>
        <v>4248.2907858928829</v>
      </c>
      <c r="Z20" s="47">
        <v>5.9763932466756306E-2</v>
      </c>
      <c r="AA20" s="45">
        <f>+'Factors &amp; Percentages'!E$13*Z20</f>
        <v>9961.1027218849886</v>
      </c>
      <c r="AB20" s="48">
        <v>37</v>
      </c>
      <c r="AC20" s="49">
        <v>58</v>
      </c>
      <c r="AD20" s="50">
        <v>432</v>
      </c>
      <c r="AE20" s="45">
        <f>AB20*'Factors &amp; Percentages'!$E$16+AC20*'Factors &amp; Percentages'!$E$17+AD20*'Factors &amp; Percentages'!$E$18</f>
        <v>6533.8697293576633</v>
      </c>
      <c r="AF20" s="45">
        <f t="shared" si="3"/>
        <v>28951.672025280921</v>
      </c>
      <c r="AG20" s="51">
        <f t="shared" si="4"/>
        <v>28951.672025280921</v>
      </c>
      <c r="AH20" s="26">
        <f>IF($AL20&gt;$AF20,$AL20*(1+'Factors &amp; Percentages'!$B$3),
IF($AF20&gt;$AG20,$AG20,
IF($AF20&gt;$BOJ20,$AF20,
$AL20*(1+'Factors &amp; Percentages'!$B$3))))</f>
        <v>34521.480000000003</v>
      </c>
      <c r="AI20" s="26">
        <f>IF(+MIN(AH20,+X20*2*AK$1)-(AL20*(1+'Factors &amp; Percentages'!B$3))&gt;0,0,+MIN(AH20,+X20*2*AK$1)-(AL20*(1+'Factors &amp; Percentages'!B$3)))</f>
        <v>0</v>
      </c>
      <c r="AJ20" s="26">
        <f t="shared" si="5"/>
        <v>34521.480000000003</v>
      </c>
      <c r="AK20" s="51"/>
      <c r="AL20" s="52">
        <v>33516</v>
      </c>
    </row>
    <row r="21" spans="1:38" hidden="1" x14ac:dyDescent="0.25">
      <c r="A21" s="53">
        <v>130017</v>
      </c>
      <c r="B21" s="54" t="s">
        <v>376</v>
      </c>
      <c r="C21" s="54" t="s">
        <v>75</v>
      </c>
      <c r="D21" s="55" t="s">
        <v>75</v>
      </c>
      <c r="E21" s="56" t="s">
        <v>356</v>
      </c>
      <c r="F21" s="56" t="s">
        <v>356</v>
      </c>
      <c r="G21" s="64">
        <f t="shared" si="0"/>
        <v>16535.350000000002</v>
      </c>
      <c r="H21" s="64">
        <v>20112.388083730148</v>
      </c>
      <c r="I21" s="57">
        <v>25439</v>
      </c>
      <c r="J21" s="57">
        <v>25474</v>
      </c>
      <c r="K21" s="58">
        <v>23282</v>
      </c>
      <c r="L21" s="57">
        <v>23836</v>
      </c>
      <c r="M21" s="58">
        <v>27634</v>
      </c>
      <c r="N21" s="58">
        <v>28485</v>
      </c>
      <c r="O21" s="57">
        <v>12954</v>
      </c>
      <c r="P21" s="58">
        <v>5916</v>
      </c>
      <c r="Q21" s="58">
        <v>5140</v>
      </c>
      <c r="R21" s="57">
        <v>1361</v>
      </c>
      <c r="S21" s="58">
        <v>1161</v>
      </c>
      <c r="T21" s="58">
        <v>420</v>
      </c>
      <c r="U21" s="59">
        <f t="shared" si="1"/>
        <v>25575.1</v>
      </c>
      <c r="V21" s="59">
        <f t="shared" si="2"/>
        <v>25131.4</v>
      </c>
      <c r="W21" s="59">
        <f>SUM(U21*'Factors &amp; Percentages'!$E$6+V21*'Factors &amp; Percentages'!$E$7)</f>
        <v>4193.8731529385823</v>
      </c>
      <c r="X21" s="60">
        <v>0.33333333333333331</v>
      </c>
      <c r="Y21" s="59">
        <f>X21*'Factors &amp; Percentages'!$E$10</f>
        <v>4720.3230954365363</v>
      </c>
      <c r="Z21" s="61">
        <v>3.8189511632525243E-2</v>
      </c>
      <c r="AA21" s="59">
        <f>+'Factors &amp; Percentages'!E$13*Z21</f>
        <v>6365.2044396812162</v>
      </c>
      <c r="AB21" s="62">
        <v>20</v>
      </c>
      <c r="AC21" s="85">
        <v>28</v>
      </c>
      <c r="AD21" s="63">
        <v>11536</v>
      </c>
      <c r="AE21" s="59">
        <f>AB21*'Factors &amp; Percentages'!$E$16+AC21*'Factors &amp; Percentages'!$E$17+AD21*'Factors &amp; Percentages'!$E$18</f>
        <v>5931.7118140485836</v>
      </c>
      <c r="AF21" s="59">
        <f t="shared" si="3"/>
        <v>21211.112502104919</v>
      </c>
      <c r="AG21" s="65">
        <f t="shared" si="4"/>
        <v>16535.350000000002</v>
      </c>
      <c r="AH21" s="64">
        <f>IF($AL21&gt;$AF21,$AL21*(1+'Factors &amp; Percentages'!$B$3),
IF($AF21&gt;$AG21,$AG21,
IF($AF21&gt;$BOJ21,$AF21,
$AL21*(1+'Factors &amp; Percentages'!$B$3))))</f>
        <v>16535.350000000002</v>
      </c>
      <c r="AI21" s="64">
        <f>IF(+MIN(AH21,+X21*2*AK$1)-(AL21*(1+'Factors &amp; Percentages'!B$3))&gt;0,0,+MIN(AH21,+X21*2*AK$1)-(AL21*(1+'Factors &amp; Percentages'!B$3)))</f>
        <v>0</v>
      </c>
      <c r="AJ21" s="64">
        <f t="shared" si="5"/>
        <v>16535.350000000002</v>
      </c>
      <c r="AK21" s="65"/>
      <c r="AL21" s="66">
        <v>0</v>
      </c>
    </row>
    <row r="22" spans="1:38" x14ac:dyDescent="0.25">
      <c r="A22" s="39">
        <v>130094</v>
      </c>
      <c r="B22" s="40" t="s">
        <v>43</v>
      </c>
      <c r="C22" s="40" t="s">
        <v>43</v>
      </c>
      <c r="D22" s="69" t="s">
        <v>43</v>
      </c>
      <c r="E22" s="42" t="s">
        <v>357</v>
      </c>
      <c r="F22" s="42" t="s">
        <v>256</v>
      </c>
      <c r="G22" s="26">
        <f t="shared" si="0"/>
        <v>29310.71</v>
      </c>
      <c r="H22" s="26">
        <v>28456.80972654359</v>
      </c>
      <c r="I22" s="43">
        <v>37766</v>
      </c>
      <c r="J22" s="43">
        <v>44538</v>
      </c>
      <c r="K22" s="44">
        <v>45792</v>
      </c>
      <c r="L22" s="43">
        <v>39384</v>
      </c>
      <c r="M22" s="44">
        <v>40429</v>
      </c>
      <c r="N22" s="44">
        <v>27000</v>
      </c>
      <c r="O22" s="43">
        <v>5107</v>
      </c>
      <c r="P22" s="44">
        <v>5116</v>
      </c>
      <c r="Q22" s="44">
        <v>26156</v>
      </c>
      <c r="R22" s="43">
        <v>139</v>
      </c>
      <c r="S22" s="44">
        <v>576</v>
      </c>
      <c r="T22" s="44">
        <v>2935</v>
      </c>
      <c r="U22" s="45">
        <f t="shared" si="1"/>
        <v>37779.9</v>
      </c>
      <c r="V22" s="45">
        <f t="shared" si="2"/>
        <v>39894.699999999997</v>
      </c>
      <c r="W22" s="45">
        <f>SUM(U22*'Factors &amp; Percentages'!$E$6+V22*'Factors &amp; Percentages'!$E$7)</f>
        <v>6389.6047368447471</v>
      </c>
      <c r="X22" s="46">
        <v>0.5</v>
      </c>
      <c r="Y22" s="45">
        <f>X22*'Factors &amp; Percentages'!$E$10</f>
        <v>7080.4846431548049</v>
      </c>
      <c r="Z22" s="47">
        <v>5.1803271894652871E-2</v>
      </c>
      <c r="AA22" s="45">
        <f>+'Factors &amp; Percentages'!E$13*Z22</f>
        <v>8634.2663772905125</v>
      </c>
      <c r="AB22" s="48">
        <v>30</v>
      </c>
      <c r="AC22" s="49">
        <v>46</v>
      </c>
      <c r="AD22" s="50">
        <v>4400</v>
      </c>
      <c r="AE22" s="45">
        <f>AB22*'Factors &amp; Percentages'!$E$16+AC22*'Factors &amp; Percentages'!$E$17+AD22*'Factors &amp; Percentages'!$E$18</f>
        <v>6162.0281868422053</v>
      </c>
      <c r="AF22" s="45">
        <f t="shared" si="3"/>
        <v>28266.383944132271</v>
      </c>
      <c r="AG22" s="51">
        <f t="shared" si="4"/>
        <v>24547.9</v>
      </c>
      <c r="AH22" s="26">
        <f>IF($AL22&gt;$AF22,$AL22*(1+'Factors &amp; Percentages'!$B$3),
IF($AF22&gt;$AG22,$AG22,
IF($AF22&gt;$BOJ22,$AF22,
$AL22*(1+'Factors &amp; Percentages'!$B$3))))</f>
        <v>29310.71</v>
      </c>
      <c r="AI22" s="26">
        <f>IF(+MIN(AH22,+X22*2*AK$1)-(AL22*(1+'Factors &amp; Percentages'!B$3))&gt;0,0,+MIN(AH22,+X22*2*AK$1)-(AL22*(1+'Factors &amp; Percentages'!B$3)))</f>
        <v>0</v>
      </c>
      <c r="AJ22" s="26">
        <f t="shared" si="5"/>
        <v>29310.71</v>
      </c>
      <c r="AK22" s="51"/>
      <c r="AL22" s="52">
        <v>28457</v>
      </c>
    </row>
    <row r="23" spans="1:38" hidden="1" x14ac:dyDescent="0.25">
      <c r="A23" s="53">
        <v>130138</v>
      </c>
      <c r="B23" s="54" t="s">
        <v>377</v>
      </c>
      <c r="C23" s="54" t="s">
        <v>157</v>
      </c>
      <c r="D23" s="55" t="s">
        <v>157</v>
      </c>
      <c r="E23" s="56" t="s">
        <v>356</v>
      </c>
      <c r="F23" s="56" t="s">
        <v>358</v>
      </c>
      <c r="G23" s="64">
        <f t="shared" si="0"/>
        <v>30963.536551735051</v>
      </c>
      <c r="H23" s="64">
        <v>30687.264806236017</v>
      </c>
      <c r="I23" s="57">
        <v>46222</v>
      </c>
      <c r="J23" s="57">
        <v>38240</v>
      </c>
      <c r="K23" s="58">
        <v>36582</v>
      </c>
      <c r="L23" s="57">
        <v>54609</v>
      </c>
      <c r="M23" s="58">
        <v>46970</v>
      </c>
      <c r="N23" s="58">
        <v>43073</v>
      </c>
      <c r="O23" s="57">
        <v>3269</v>
      </c>
      <c r="P23" s="58">
        <v>4420</v>
      </c>
      <c r="Q23" s="58">
        <v>3641</v>
      </c>
      <c r="R23" s="57">
        <v>291</v>
      </c>
      <c r="S23" s="58">
        <v>4487</v>
      </c>
      <c r="T23" s="58">
        <v>2569</v>
      </c>
      <c r="U23" s="59">
        <f t="shared" si="1"/>
        <v>46251.1</v>
      </c>
      <c r="V23" s="59">
        <f t="shared" si="2"/>
        <v>54935.9</v>
      </c>
      <c r="W23" s="59">
        <f>SUM(U23*'Factors &amp; Percentages'!$E$6+V23*'Factors &amp; Percentages'!$E$7)</f>
        <v>8249.9870559610026</v>
      </c>
      <c r="X23" s="60">
        <v>0.5</v>
      </c>
      <c r="Y23" s="59">
        <f>X23*'Factors &amp; Percentages'!$E$10</f>
        <v>7080.4846431548049</v>
      </c>
      <c r="Z23" s="61">
        <v>5.1700961637886469E-2</v>
      </c>
      <c r="AA23" s="59">
        <f>+'Factors &amp; Percentages'!E$13*Z23</f>
        <v>8617.2139020753075</v>
      </c>
      <c r="AB23" s="62">
        <v>30</v>
      </c>
      <c r="AC23" s="85">
        <v>55</v>
      </c>
      <c r="AD23" s="63">
        <v>7246</v>
      </c>
      <c r="AE23" s="59">
        <f>AB23*'Factors &amp; Percentages'!$E$16+AC23*'Factors &amp; Percentages'!$E$17+AD23*'Factors &amp; Percentages'!$E$18</f>
        <v>7015.8509505439361</v>
      </c>
      <c r="AF23" s="59">
        <f t="shared" si="3"/>
        <v>30963.536551735051</v>
      </c>
      <c r="AG23" s="65">
        <f t="shared" si="4"/>
        <v>30963.536551735051</v>
      </c>
      <c r="AH23" s="64">
        <f>IF($AL23&gt;$AF23,$AL23*(1+'Factors &amp; Percentages'!$B$3),
IF($AF23&gt;$AG23,$AG23,
IF($AF23&gt;$BOJ23,$AF23,
$AL23*(1+'Factors &amp; Percentages'!$B$3))))</f>
        <v>30963.536551735051</v>
      </c>
      <c r="AI23" s="64">
        <f>IF(+MIN(AH23,+X23*2*AK$1)-(AL23*(1+'Factors &amp; Percentages'!B$3))&gt;0,0,+MIN(AH23,+X23*2*AK$1)-(AL23*(1+'Factors &amp; Percentages'!B$3)))</f>
        <v>0</v>
      </c>
      <c r="AJ23" s="64">
        <f t="shared" si="5"/>
        <v>30963.536551735051</v>
      </c>
      <c r="AK23" s="65"/>
      <c r="AL23" s="66">
        <v>17424</v>
      </c>
    </row>
    <row r="24" spans="1:38" hidden="1" x14ac:dyDescent="0.25">
      <c r="A24" s="39">
        <v>130189</v>
      </c>
      <c r="B24" s="40" t="s">
        <v>11</v>
      </c>
      <c r="C24" s="40" t="s">
        <v>11</v>
      </c>
      <c r="D24" s="41" t="s">
        <v>11</v>
      </c>
      <c r="E24" s="42" t="s">
        <v>237</v>
      </c>
      <c r="F24" s="42" t="s">
        <v>237</v>
      </c>
      <c r="G24" s="26">
        <f t="shared" si="0"/>
        <v>24750.022227335347</v>
      </c>
      <c r="H24" s="26">
        <v>24550.75628660214</v>
      </c>
      <c r="I24" s="43">
        <v>19588</v>
      </c>
      <c r="J24" s="43">
        <v>15348</v>
      </c>
      <c r="K24" s="44">
        <v>32933</v>
      </c>
      <c r="L24" s="43">
        <v>117272</v>
      </c>
      <c r="M24" s="44">
        <v>118119</v>
      </c>
      <c r="N24" s="44">
        <v>25564</v>
      </c>
      <c r="O24" s="43">
        <v>153</v>
      </c>
      <c r="P24" s="44">
        <v>2667</v>
      </c>
      <c r="Q24" s="44">
        <v>2667</v>
      </c>
      <c r="R24" s="43">
        <v>10522</v>
      </c>
      <c r="S24" s="44">
        <v>0</v>
      </c>
      <c r="T24" s="44">
        <v>0</v>
      </c>
      <c r="U24" s="45">
        <f t="shared" si="1"/>
        <v>20640.2</v>
      </c>
      <c r="V24" s="45">
        <f t="shared" si="2"/>
        <v>117287.3</v>
      </c>
      <c r="W24" s="45">
        <f>SUM(U24*'Factors &amp; Percentages'!$E$6+V24*'Factors &amp; Percentages'!$E$7)</f>
        <v>10190.37439116954</v>
      </c>
      <c r="X24" s="46">
        <v>0.25</v>
      </c>
      <c r="Y24" s="45">
        <f>X24*'Factors &amp; Percentages'!$E$10</f>
        <v>3540.2423215774024</v>
      </c>
      <c r="Z24" s="47">
        <v>4.8175358304227388E-2</v>
      </c>
      <c r="AA24" s="45">
        <f>+'Factors &amp; Percentages'!E$13*Z24</f>
        <v>8029.5869586385925</v>
      </c>
      <c r="AB24" s="48">
        <v>15</v>
      </c>
      <c r="AC24" s="49">
        <v>27</v>
      </c>
      <c r="AD24" s="50">
        <v>1324</v>
      </c>
      <c r="AE24" s="45">
        <f>AB24*'Factors &amp; Percentages'!$E$16+AC24*'Factors &amp; Percentages'!$E$17+AD24*'Factors &amp; Percentages'!$E$18</f>
        <v>2989.8185559498124</v>
      </c>
      <c r="AF24" s="45">
        <f t="shared" si="3"/>
        <v>24750.022227335347</v>
      </c>
      <c r="AG24" s="51">
        <f t="shared" si="4"/>
        <v>24750.022227335347</v>
      </c>
      <c r="AH24" s="26">
        <f>IF($AL24&gt;$AF24,$AL24*(1+'Factors &amp; Percentages'!$B$3),
IF($AF24&gt;$AG24,$AG24,
IF($AF24&gt;$BOJ24,$AF24,
$AL24*(1+'Factors &amp; Percentages'!$B$3))))</f>
        <v>24750.022227335347</v>
      </c>
      <c r="AI24" s="26">
        <f>IF(+MIN(AH24,+X24*2*AK$1)-(AL24*(1+'Factors &amp; Percentages'!B$3))&gt;0,0,+MIN(AH24,+X24*2*AK$1)-(AL24*(1+'Factors &amp; Percentages'!B$3)))</f>
        <v>0</v>
      </c>
      <c r="AJ24" s="26">
        <f t="shared" si="5"/>
        <v>24750.022227335347</v>
      </c>
      <c r="AK24" s="51"/>
      <c r="AL24" s="52">
        <v>8000</v>
      </c>
    </row>
    <row r="25" spans="1:38" hidden="1" x14ac:dyDescent="0.25">
      <c r="A25" s="53">
        <v>130139</v>
      </c>
      <c r="B25" s="54" t="s">
        <v>158</v>
      </c>
      <c r="C25" s="54" t="s">
        <v>158</v>
      </c>
      <c r="D25" s="55" t="s">
        <v>158</v>
      </c>
      <c r="E25" s="56" t="s">
        <v>356</v>
      </c>
      <c r="F25" s="56" t="s">
        <v>358</v>
      </c>
      <c r="G25" s="64">
        <f t="shared" si="0"/>
        <v>25218.150018592412</v>
      </c>
      <c r="H25" s="64">
        <v>25081.71118092757</v>
      </c>
      <c r="I25" s="57">
        <v>32808</v>
      </c>
      <c r="J25" s="57">
        <v>40423</v>
      </c>
      <c r="K25" s="58">
        <v>37640</v>
      </c>
      <c r="L25" s="57">
        <v>62698</v>
      </c>
      <c r="M25" s="58">
        <v>68684</v>
      </c>
      <c r="N25" s="58">
        <v>63381</v>
      </c>
      <c r="O25" s="57">
        <v>23288</v>
      </c>
      <c r="P25" s="58">
        <v>0</v>
      </c>
      <c r="Q25" s="58">
        <v>0</v>
      </c>
      <c r="R25" s="57">
        <v>3740</v>
      </c>
      <c r="S25" s="58">
        <v>0</v>
      </c>
      <c r="T25" s="58">
        <v>300</v>
      </c>
      <c r="U25" s="59">
        <f t="shared" si="1"/>
        <v>33182</v>
      </c>
      <c r="V25" s="59">
        <f t="shared" si="2"/>
        <v>65026.8</v>
      </c>
      <c r="W25" s="59">
        <f>SUM(U25*'Factors &amp; Percentages'!$E$6+V25*'Factors &amp; Percentages'!$E$7)</f>
        <v>7715.8449082176339</v>
      </c>
      <c r="X25" s="60">
        <v>0.5</v>
      </c>
      <c r="Y25" s="59">
        <f>X25*'Factors &amp; Percentages'!$E$10</f>
        <v>7080.4846431548049</v>
      </c>
      <c r="Z25" s="61">
        <v>3.2373145828072693E-2</v>
      </c>
      <c r="AA25" s="59">
        <f>+'Factors &amp; Percentages'!E$13*Z25</f>
        <v>5395.7666056089893</v>
      </c>
      <c r="AB25" s="62">
        <v>20</v>
      </c>
      <c r="AC25" s="85">
        <v>50</v>
      </c>
      <c r="AD25" s="63">
        <v>4880</v>
      </c>
      <c r="AE25" s="59">
        <f>AB25*'Factors &amp; Percentages'!$E$16+AC25*'Factors &amp; Percentages'!$E$17+AD25*'Factors &amp; Percentages'!$E$18</f>
        <v>5026.0538616109834</v>
      </c>
      <c r="AF25" s="59">
        <f t="shared" si="3"/>
        <v>25218.150018592412</v>
      </c>
      <c r="AG25" s="65">
        <f t="shared" si="4"/>
        <v>25218.150018592412</v>
      </c>
      <c r="AH25" s="64">
        <f>IF($AL25&gt;$AF25,$AL25*(1+'Factors &amp; Percentages'!$B$3),
IF($AF25&gt;$AG25,$AG25,
IF($AF25&gt;$BOJ25,$AF25,
$AL25*(1+'Factors &amp; Percentages'!$B$3))))</f>
        <v>25218.150018592412</v>
      </c>
      <c r="AI25" s="64">
        <f>IF(+MIN(AH25,+X25*2*AK$1)-(AL25*(1+'Factors &amp; Percentages'!B$3))&gt;0,0,+MIN(AH25,+X25*2*AK$1)-(AL25*(1+'Factors &amp; Percentages'!B$3)))</f>
        <v>0</v>
      </c>
      <c r="AJ25" s="64">
        <f t="shared" si="5"/>
        <v>25218.150018592412</v>
      </c>
      <c r="AK25" s="65"/>
      <c r="AL25" s="66">
        <v>18000</v>
      </c>
    </row>
    <row r="26" spans="1:38" x14ac:dyDescent="0.25">
      <c r="A26" s="39">
        <v>130004</v>
      </c>
      <c r="B26" s="40" t="s">
        <v>273</v>
      </c>
      <c r="C26" s="40" t="s">
        <v>273</v>
      </c>
      <c r="D26" s="69" t="s">
        <v>44</v>
      </c>
      <c r="E26" s="42" t="s">
        <v>357</v>
      </c>
      <c r="F26" s="42" t="s">
        <v>256</v>
      </c>
      <c r="G26" s="26">
        <f t="shared" si="0"/>
        <v>124630</v>
      </c>
      <c r="H26" s="26">
        <v>127338.75</v>
      </c>
      <c r="I26" s="43">
        <v>289299</v>
      </c>
      <c r="J26" s="43">
        <v>282760</v>
      </c>
      <c r="K26" s="44">
        <v>271044</v>
      </c>
      <c r="L26" s="43">
        <v>30472</v>
      </c>
      <c r="M26" s="44">
        <v>39997</v>
      </c>
      <c r="N26" s="44">
        <v>85912</v>
      </c>
      <c r="O26" s="43">
        <v>143954</v>
      </c>
      <c r="P26" s="44">
        <v>164331</v>
      </c>
      <c r="Q26" s="44">
        <v>77482</v>
      </c>
      <c r="R26" s="43">
        <v>59731</v>
      </c>
      <c r="S26" s="44">
        <v>45272</v>
      </c>
      <c r="T26" s="44">
        <v>27015</v>
      </c>
      <c r="U26" s="45">
        <f t="shared" si="1"/>
        <v>295272.09999999998</v>
      </c>
      <c r="V26" s="45">
        <f t="shared" si="2"/>
        <v>44867.4</v>
      </c>
      <c r="W26" s="45">
        <f>SUM(U26*'Factors &amp; Percentages'!$E$6+V26*'Factors &amp; Percentages'!$E$7)</f>
        <v>31210.883478199747</v>
      </c>
      <c r="X26" s="46">
        <v>2</v>
      </c>
      <c r="Y26" s="45">
        <f>X26*'Factors &amp; Percentages'!$E$10</f>
        <v>28321.938572619219</v>
      </c>
      <c r="Z26" s="47">
        <v>4.5158959537572256E-2</v>
      </c>
      <c r="AA26" s="45">
        <f>+'Factors &amp; Percentages'!E$13*Z26</f>
        <v>7526.8312542422591</v>
      </c>
      <c r="AB26" s="48">
        <v>180</v>
      </c>
      <c r="AC26" s="49">
        <v>193</v>
      </c>
      <c r="AD26" s="50">
        <v>25026</v>
      </c>
      <c r="AE26" s="45">
        <f>AB26*'Factors &amp; Percentages'!$E$16+AC26*'Factors &amp; Percentages'!$E$17+AD26*'Factors &amp; Percentages'!$E$18</f>
        <v>34566.208359245727</v>
      </c>
      <c r="AF26" s="45">
        <f t="shared" si="3"/>
        <v>101625.86166430695</v>
      </c>
      <c r="AG26" s="51">
        <f t="shared" si="4"/>
        <v>101625.86166430695</v>
      </c>
      <c r="AH26" s="26">
        <f>IF($AL26&gt;$AF26,$AL26*(1+'Factors &amp; Percentages'!$B$3),
IF($AF26&gt;$AG26,$AG26,
IF($AF26&gt;$BOJ26,$AF26,
$AL26*(1+'Factors &amp; Percentages'!$B$3))))</f>
        <v>124630</v>
      </c>
      <c r="AI26" s="26">
        <f>IF(+MIN(AH26,+X26*2*AK$1)-(AL26*(1+'Factors &amp; Percentages'!B$3))&gt;0,0,+MIN(AH26,+X26*2*AK$1)-(AL26*(1+'Factors &amp; Percentages'!B$3)))</f>
        <v>0</v>
      </c>
      <c r="AJ26" s="26">
        <f t="shared" si="5"/>
        <v>124630</v>
      </c>
      <c r="AK26" s="51"/>
      <c r="AL26" s="52">
        <v>121000</v>
      </c>
    </row>
    <row r="27" spans="1:38" hidden="1" x14ac:dyDescent="0.25">
      <c r="A27" s="53">
        <v>130341</v>
      </c>
      <c r="B27" s="54" t="s">
        <v>378</v>
      </c>
      <c r="C27" s="54" t="s">
        <v>274</v>
      </c>
      <c r="D27" s="55" t="s">
        <v>76</v>
      </c>
      <c r="E27" s="56" t="s">
        <v>356</v>
      </c>
      <c r="F27" s="56" t="s">
        <v>356</v>
      </c>
      <c r="G27" s="64">
        <f t="shared" si="0"/>
        <v>16003.299586202616</v>
      </c>
      <c r="H27" s="64">
        <v>13331.226490979825</v>
      </c>
      <c r="I27" s="57">
        <v>18945</v>
      </c>
      <c r="J27" s="57">
        <v>21494</v>
      </c>
      <c r="K27" s="58">
        <v>18968</v>
      </c>
      <c r="L27" s="57">
        <v>25405</v>
      </c>
      <c r="M27" s="58">
        <v>8830</v>
      </c>
      <c r="N27" s="58">
        <v>15311</v>
      </c>
      <c r="O27" s="57">
        <v>650</v>
      </c>
      <c r="P27" s="58">
        <v>650</v>
      </c>
      <c r="Q27" s="58">
        <v>0</v>
      </c>
      <c r="R27" s="57">
        <v>2749</v>
      </c>
      <c r="S27" s="58">
        <v>33</v>
      </c>
      <c r="T27" s="58">
        <v>0</v>
      </c>
      <c r="U27" s="59">
        <f t="shared" si="1"/>
        <v>19219.900000000001</v>
      </c>
      <c r="V27" s="59">
        <f t="shared" si="2"/>
        <v>25470</v>
      </c>
      <c r="W27" s="59">
        <f>SUM(U27*'Factors &amp; Percentages'!$E$6+V27*'Factors &amp; Percentages'!$E$7)</f>
        <v>3613.622155338835</v>
      </c>
      <c r="X27" s="60">
        <v>0.3</v>
      </c>
      <c r="Y27" s="59">
        <f>X27*'Factors &amp; Percentages'!$E$10</f>
        <v>4248.2907858928829</v>
      </c>
      <c r="Z27" s="61">
        <v>2.7915650071743219E-2</v>
      </c>
      <c r="AA27" s="59">
        <f>+'Factors &amp; Percentages'!E$13*Z27</f>
        <v>4652.8172835264322</v>
      </c>
      <c r="AB27" s="62">
        <v>12</v>
      </c>
      <c r="AC27" s="85">
        <v>34</v>
      </c>
      <c r="AD27" s="63">
        <v>4618</v>
      </c>
      <c r="AE27" s="59">
        <f>AB27*'Factors &amp; Percentages'!$E$16+AC27*'Factors &amp; Percentages'!$E$17+AD27*'Factors &amp; Percentages'!$E$18</f>
        <v>3488.5693614444658</v>
      </c>
      <c r="AF27" s="59">
        <f t="shared" si="3"/>
        <v>16003.299586202616</v>
      </c>
      <c r="AG27" s="65">
        <f t="shared" si="4"/>
        <v>16003.299586202616</v>
      </c>
      <c r="AH27" s="64">
        <f>IF($AL27&gt;$AF27,$AL27*(1+'Factors &amp; Percentages'!$B$3),
IF($AF27&gt;$AG27,$AG27,
IF($AF27&gt;$BOJ27,$AF27,
$AL27*(1+'Factors &amp; Percentages'!$B$3))))</f>
        <v>16003.299586202616</v>
      </c>
      <c r="AI27" s="64">
        <f>IF(+MIN(AH27,+X27*2*AK$1)-(AL27*(1+'Factors &amp; Percentages'!B$3))&gt;0,0,+MIN(AH27,+X27*2*AK$1)-(AL27*(1+'Factors &amp; Percentages'!B$3)))</f>
        <v>0</v>
      </c>
      <c r="AJ27" s="64">
        <f t="shared" si="5"/>
        <v>16003.299586202616</v>
      </c>
      <c r="AK27" s="65"/>
      <c r="AL27" s="66">
        <v>4000</v>
      </c>
    </row>
    <row r="28" spans="1:38" x14ac:dyDescent="0.25">
      <c r="A28" s="39">
        <v>130095</v>
      </c>
      <c r="B28" s="40" t="s">
        <v>45</v>
      </c>
      <c r="C28" s="40" t="s">
        <v>45</v>
      </c>
      <c r="D28" s="69" t="s">
        <v>45</v>
      </c>
      <c r="E28" s="42" t="s">
        <v>357</v>
      </c>
      <c r="F28" s="42" t="s">
        <v>256</v>
      </c>
      <c r="G28" s="26">
        <f t="shared" si="0"/>
        <v>12321.4</v>
      </c>
      <c r="H28" s="26">
        <v>13199.076771540966</v>
      </c>
      <c r="I28" s="43">
        <v>18956</v>
      </c>
      <c r="J28" s="43">
        <v>21607</v>
      </c>
      <c r="K28" s="44">
        <v>21209</v>
      </c>
      <c r="L28" s="43">
        <v>8684</v>
      </c>
      <c r="M28" s="44">
        <v>9595</v>
      </c>
      <c r="N28" s="44">
        <v>7720</v>
      </c>
      <c r="O28" s="43">
        <v>20532</v>
      </c>
      <c r="P28" s="44">
        <v>21775</v>
      </c>
      <c r="Q28" s="44">
        <v>21998</v>
      </c>
      <c r="R28" s="43">
        <v>351</v>
      </c>
      <c r="S28" s="44">
        <v>997</v>
      </c>
      <c r="T28" s="44">
        <v>647</v>
      </c>
      <c r="U28" s="45">
        <f t="shared" si="1"/>
        <v>18991.099999999999</v>
      </c>
      <c r="V28" s="45">
        <f t="shared" si="2"/>
        <v>10737.2</v>
      </c>
      <c r="W28" s="45">
        <f>SUM(U28*'Factors &amp; Percentages'!$E$6+V28*'Factors &amp; Percentages'!$E$7)</f>
        <v>2558.2453909340197</v>
      </c>
      <c r="X28" s="46">
        <v>0.25</v>
      </c>
      <c r="Y28" s="45">
        <f>X28*'Factors &amp; Percentages'!$E$10</f>
        <v>3540.2423215774024</v>
      </c>
      <c r="Z28" s="47">
        <v>3.3785495886615877E-2</v>
      </c>
      <c r="AA28" s="45">
        <f>+'Factors &amp; Percentages'!E$13*Z28</f>
        <v>5631.1688529466219</v>
      </c>
      <c r="AB28" s="48">
        <v>16</v>
      </c>
      <c r="AC28" s="49">
        <v>50</v>
      </c>
      <c r="AD28" s="50">
        <v>5526</v>
      </c>
      <c r="AE28" s="45">
        <f>AB28*'Factors &amp; Percentages'!$E$16+AC28*'Factors &amp; Percentages'!$E$17+AD28*'Factors &amp; Percentages'!$E$18</f>
        <v>4630.9187048429158</v>
      </c>
      <c r="AF28" s="45">
        <f t="shared" si="3"/>
        <v>16360.57527030096</v>
      </c>
      <c r="AG28" s="51">
        <f t="shared" si="4"/>
        <v>12321.4</v>
      </c>
      <c r="AH28" s="26">
        <f>IF($AL28&gt;$AF28,$AL28*(1+'Factors &amp; Percentages'!$B$3),
IF($AF28&gt;$AG28,$AG28,
IF($AF28&gt;$BOJ28,$AF28,
$AL28*(1+'Factors &amp; Percentages'!$B$3))))</f>
        <v>12321.4</v>
      </c>
      <c r="AI28" s="26">
        <f>IF(+MIN(AH28,+X28*2*AK$1)-(AL28*(1+'Factors &amp; Percentages'!B$3))&gt;0,0,+MIN(AH28,+X28*2*AK$1)-(AL28*(1+'Factors &amp; Percentages'!B$3)))</f>
        <v>0</v>
      </c>
      <c r="AJ28" s="26">
        <f t="shared" si="5"/>
        <v>12321.4</v>
      </c>
      <c r="AK28" s="51"/>
      <c r="AL28" s="52">
        <v>9600</v>
      </c>
    </row>
    <row r="29" spans="1:38" x14ac:dyDescent="0.25">
      <c r="A29" s="53">
        <v>130079</v>
      </c>
      <c r="B29" s="54" t="s">
        <v>379</v>
      </c>
      <c r="C29" s="54" t="s">
        <v>118</v>
      </c>
      <c r="D29" s="55" t="s">
        <v>118</v>
      </c>
      <c r="E29" s="56" t="s">
        <v>357</v>
      </c>
      <c r="F29" s="56" t="s">
        <v>361</v>
      </c>
      <c r="G29" s="64">
        <f t="shared" si="0"/>
        <v>7029.75</v>
      </c>
      <c r="H29" s="64">
        <v>6825</v>
      </c>
      <c r="I29" s="57">
        <v>9602</v>
      </c>
      <c r="J29" s="57">
        <v>9602</v>
      </c>
      <c r="K29" s="58">
        <v>13513</v>
      </c>
      <c r="L29" s="57">
        <v>6295</v>
      </c>
      <c r="M29" s="58">
        <v>6295</v>
      </c>
      <c r="N29" s="58">
        <v>11404</v>
      </c>
      <c r="O29" s="57">
        <v>6825</v>
      </c>
      <c r="P29" s="58">
        <v>6825</v>
      </c>
      <c r="Q29" s="58">
        <v>1179</v>
      </c>
      <c r="R29" s="57">
        <v>7738</v>
      </c>
      <c r="S29" s="58">
        <v>7738</v>
      </c>
      <c r="T29" s="58">
        <v>2153</v>
      </c>
      <c r="U29" s="59">
        <f t="shared" si="1"/>
        <v>10375.799999999999</v>
      </c>
      <c r="V29" s="59">
        <f t="shared" si="2"/>
        <v>6977.5</v>
      </c>
      <c r="W29" s="59">
        <f>SUM(U29*'Factors &amp; Percentages'!$E$6+V29*'Factors &amp; Percentages'!$E$7)</f>
        <v>1475.6608554487896</v>
      </c>
      <c r="X29" s="60">
        <v>0.25</v>
      </c>
      <c r="Y29" s="59">
        <f>X29*'Factors &amp; Percentages'!$E$10</f>
        <v>3540.2423215774024</v>
      </c>
      <c r="Z29" s="61">
        <v>2.3015542395779871E-2</v>
      </c>
      <c r="AA29" s="59">
        <f>+'Factors &amp; Percentages'!E$13*Z29</f>
        <v>3836.095995386318</v>
      </c>
      <c r="AB29" s="62">
        <v>9</v>
      </c>
      <c r="AC29" s="85">
        <v>26</v>
      </c>
      <c r="AD29" s="63">
        <v>3420</v>
      </c>
      <c r="AE29" s="59">
        <f>AB29*'Factors &amp; Percentages'!$E$16+AC29*'Factors &amp; Percentages'!$E$17+AD29*'Factors &amp; Percentages'!$E$18</f>
        <v>2619.5376141327374</v>
      </c>
      <c r="AF29" s="59">
        <f t="shared" si="3"/>
        <v>11471.536786545248</v>
      </c>
      <c r="AG29" s="65">
        <f t="shared" si="4"/>
        <v>6241.3</v>
      </c>
      <c r="AH29" s="64">
        <f>IF($AL29&gt;$AF29,$AL29*(1+'Factors &amp; Percentages'!$B$3),
IF($AF29&gt;$AG29,$AG29,
IF($AF29&gt;$BOJ29,$AF29,
$AL29*(1+'Factors &amp; Percentages'!$B$3))))</f>
        <v>6241.3</v>
      </c>
      <c r="AI29" s="64">
        <f>IF(+MIN(AH29,+X29*2*AK$1)-(AL29*(1+'Factors &amp; Percentages'!B$3))&gt;0,0,+MIN(AH29,+X29*2*AK$1)-(AL29*(1+'Factors &amp; Percentages'!B$3)))</f>
        <v>-788.44999999999982</v>
      </c>
      <c r="AJ29" s="64">
        <f t="shared" si="5"/>
        <v>7029.75</v>
      </c>
      <c r="AK29" s="65"/>
      <c r="AL29" s="66">
        <v>6825</v>
      </c>
    </row>
    <row r="30" spans="1:38" x14ac:dyDescent="0.25">
      <c r="A30" s="39">
        <v>130108</v>
      </c>
      <c r="B30" s="40" t="s">
        <v>380</v>
      </c>
      <c r="C30" s="40" t="s">
        <v>275</v>
      </c>
      <c r="D30" s="41" t="s">
        <v>140</v>
      </c>
      <c r="E30" s="42" t="s">
        <v>357</v>
      </c>
      <c r="F30" s="42" t="s">
        <v>362</v>
      </c>
      <c r="G30" s="26">
        <f t="shared" si="0"/>
        <v>45973.85</v>
      </c>
      <c r="H30" s="26">
        <v>41094.300000000003</v>
      </c>
      <c r="I30" s="43">
        <v>70729</v>
      </c>
      <c r="J30" s="43">
        <v>63222</v>
      </c>
      <c r="K30" s="44">
        <v>65369</v>
      </c>
      <c r="L30" s="43">
        <v>47424</v>
      </c>
      <c r="M30" s="44">
        <v>42987</v>
      </c>
      <c r="N30" s="44">
        <v>48624</v>
      </c>
      <c r="O30" s="43">
        <v>706</v>
      </c>
      <c r="P30" s="44">
        <v>0</v>
      </c>
      <c r="Q30" s="44">
        <v>0</v>
      </c>
      <c r="R30" s="43">
        <v>1000</v>
      </c>
      <c r="S30" s="44">
        <v>0</v>
      </c>
      <c r="T30" s="44">
        <v>1457</v>
      </c>
      <c r="U30" s="45">
        <f t="shared" si="1"/>
        <v>70829</v>
      </c>
      <c r="V30" s="45">
        <f t="shared" si="2"/>
        <v>47494.6</v>
      </c>
      <c r="W30" s="45">
        <f>SUM(U30*'Factors &amp; Percentages'!$E$6+V30*'Factors &amp; Percentages'!$E$7)</f>
        <v>10063.832868784928</v>
      </c>
      <c r="X30" s="46">
        <v>0.5</v>
      </c>
      <c r="Y30" s="45">
        <f>X30*'Factors &amp; Percentages'!$E$10</f>
        <v>7080.4846431548049</v>
      </c>
      <c r="Z30" s="47">
        <v>0.26159520757579718</v>
      </c>
      <c r="AA30" s="45">
        <f>+'Factors &amp; Percentages'!E$13*Z30</f>
        <v>43601.159205258213</v>
      </c>
      <c r="AB30" s="48">
        <v>17</v>
      </c>
      <c r="AC30" s="49">
        <v>47</v>
      </c>
      <c r="AD30" s="50">
        <v>4635</v>
      </c>
      <c r="AE30" s="45">
        <f>AB30*'Factors &amp; Percentages'!$E$16+AC30*'Factors &amp; Percentages'!$E$17+AD30*'Factors &amp; Percentages'!$E$18</f>
        <v>4493.2784827297801</v>
      </c>
      <c r="AF30" s="45">
        <f t="shared" si="3"/>
        <v>65238.755199927728</v>
      </c>
      <c r="AG30" s="51">
        <f t="shared" si="4"/>
        <v>45973.85</v>
      </c>
      <c r="AH30" s="26">
        <f>IF($AL30&gt;$AF30,$AL30*(1+'Factors &amp; Percentages'!$B$3),
IF($AF30&gt;$AG30,$AG30,
IF($AF30&gt;$BOJ30,$AF30,
$AL30*(1+'Factors &amp; Percentages'!$B$3))))</f>
        <v>45973.85</v>
      </c>
      <c r="AI30" s="26">
        <f>IF(+MIN(AH30,+X30*2*AK$1)-(AL30*(1+'Factors &amp; Percentages'!B$3))&gt;0,0,+MIN(AH30,+X30*2*AK$1)-(AL30*(1+'Factors &amp; Percentages'!B$3)))</f>
        <v>0</v>
      </c>
      <c r="AJ30" s="26">
        <f t="shared" si="5"/>
        <v>45973.85</v>
      </c>
      <c r="AK30" s="51"/>
      <c r="AL30" s="52">
        <v>35000</v>
      </c>
    </row>
    <row r="31" spans="1:38" x14ac:dyDescent="0.25">
      <c r="A31" s="53">
        <v>130109</v>
      </c>
      <c r="B31" s="54" t="s">
        <v>381</v>
      </c>
      <c r="C31" s="54" t="s">
        <v>141</v>
      </c>
      <c r="D31" s="55" t="s">
        <v>141</v>
      </c>
      <c r="E31" s="56" t="s">
        <v>357</v>
      </c>
      <c r="F31" s="56" t="s">
        <v>362</v>
      </c>
      <c r="G31" s="64">
        <f t="shared" si="0"/>
        <v>19847.75</v>
      </c>
      <c r="H31" s="64">
        <v>18214.754130602483</v>
      </c>
      <c r="I31" s="57">
        <v>30535</v>
      </c>
      <c r="J31" s="57">
        <v>32807</v>
      </c>
      <c r="K31" s="58">
        <v>30300</v>
      </c>
      <c r="L31" s="57">
        <v>4126</v>
      </c>
      <c r="M31" s="58">
        <v>7203</v>
      </c>
      <c r="N31" s="58">
        <v>4529</v>
      </c>
      <c r="O31" s="57">
        <v>13294</v>
      </c>
      <c r="P31" s="58">
        <v>14205</v>
      </c>
      <c r="Q31" s="58">
        <v>7969</v>
      </c>
      <c r="R31" s="57">
        <v>25128</v>
      </c>
      <c r="S31" s="58">
        <v>6616</v>
      </c>
      <c r="T31" s="58">
        <v>113</v>
      </c>
      <c r="U31" s="59">
        <f t="shared" si="1"/>
        <v>33047.800000000003</v>
      </c>
      <c r="V31" s="59">
        <f t="shared" si="2"/>
        <v>5455.4</v>
      </c>
      <c r="W31" s="59">
        <f>SUM(U31*'Factors &amp; Percentages'!$E$6+V31*'Factors &amp; Percentages'!$E$7)</f>
        <v>3523.6496518184322</v>
      </c>
      <c r="X31" s="60">
        <v>0.5</v>
      </c>
      <c r="Y31" s="59">
        <f>X31*'Factors &amp; Percentages'!$E$10</f>
        <v>7080.4846431548049</v>
      </c>
      <c r="Z31" s="61">
        <v>3.5396977098155813E-2</v>
      </c>
      <c r="AA31" s="59">
        <f>+'Factors &amp; Percentages'!E$13*Z31</f>
        <v>5899.7611162061721</v>
      </c>
      <c r="AB31" s="62">
        <v>23</v>
      </c>
      <c r="AC31" s="85">
        <v>32</v>
      </c>
      <c r="AD31" s="63">
        <v>8381</v>
      </c>
      <c r="AE31" s="59">
        <f>AB31*'Factors &amp; Percentages'!$E$16+AC31*'Factors &amp; Percentages'!$E$17+AD31*'Factors &amp; Percentages'!$E$18</f>
        <v>5742.3485801206953</v>
      </c>
      <c r="AF31" s="59">
        <f t="shared" si="3"/>
        <v>22246.243991300104</v>
      </c>
      <c r="AG31" s="65">
        <f t="shared" si="4"/>
        <v>19847.75</v>
      </c>
      <c r="AH31" s="64">
        <f>IF($AL31&gt;$AF31,$AL31*(1+'Factors &amp; Percentages'!$B$3),
IF($AF31&gt;$AG31,$AG31,
IF($AF31&gt;$BOJ31,$AF31,
$AL31*(1+'Factors &amp; Percentages'!$B$3))))</f>
        <v>19847.75</v>
      </c>
      <c r="AI31" s="64">
        <f>IF(+MIN(AH31,+X31*2*AK$1)-(AL31*(1+'Factors &amp; Percentages'!B$3))&gt;0,0,+MIN(AH31,+X31*2*AK$1)-(AL31*(1+'Factors &amp; Percentages'!B$3)))</f>
        <v>0</v>
      </c>
      <c r="AJ31" s="64">
        <f t="shared" si="5"/>
        <v>19847.75</v>
      </c>
      <c r="AK31" s="65"/>
      <c r="AL31" s="66">
        <v>16500</v>
      </c>
    </row>
    <row r="32" spans="1:38" hidden="1" x14ac:dyDescent="0.25">
      <c r="A32" s="39">
        <v>130224</v>
      </c>
      <c r="B32" s="40" t="s">
        <v>382</v>
      </c>
      <c r="C32" s="40" t="s">
        <v>58</v>
      </c>
      <c r="D32" s="41" t="s">
        <v>58</v>
      </c>
      <c r="E32" s="42" t="s">
        <v>237</v>
      </c>
      <c r="F32" s="42" t="s">
        <v>360</v>
      </c>
      <c r="G32" s="26">
        <f t="shared" si="0"/>
        <v>35534.85</v>
      </c>
      <c r="H32" s="26">
        <v>33638.15</v>
      </c>
      <c r="I32" s="43">
        <v>54669</v>
      </c>
      <c r="J32" s="43">
        <v>51751</v>
      </c>
      <c r="K32" s="44">
        <v>48180</v>
      </c>
      <c r="L32" s="43">
        <v>1286</v>
      </c>
      <c r="M32" s="44">
        <v>1781</v>
      </c>
      <c r="N32" s="44">
        <v>3221</v>
      </c>
      <c r="O32" s="43">
        <v>17091</v>
      </c>
      <c r="P32" s="44">
        <v>14927</v>
      </c>
      <c r="Q32" s="44">
        <v>12179</v>
      </c>
      <c r="R32" s="43">
        <v>20599</v>
      </c>
      <c r="S32" s="44">
        <v>4537</v>
      </c>
      <c r="T32" s="44">
        <v>1810</v>
      </c>
      <c r="U32" s="45">
        <f t="shared" si="1"/>
        <v>56728.9</v>
      </c>
      <c r="V32" s="45">
        <f t="shared" si="2"/>
        <v>2995.1000000000004</v>
      </c>
      <c r="W32" s="45">
        <f>SUM(U32*'Factors &amp; Percentages'!$E$6+V32*'Factors &amp; Percentages'!$E$7)</f>
        <v>5601.721940886252</v>
      </c>
      <c r="X32" s="46">
        <v>1</v>
      </c>
      <c r="Y32" s="45">
        <f>X32*'Factors &amp; Percentages'!$E$10</f>
        <v>14160.96928630961</v>
      </c>
      <c r="Z32" s="47">
        <v>5.1595061320730384E-2</v>
      </c>
      <c r="AA32" s="45">
        <f>+'Factors &amp; Percentages'!E$13*Z32</f>
        <v>8599.5630565915581</v>
      </c>
      <c r="AB32" s="48">
        <v>40</v>
      </c>
      <c r="AC32" s="49">
        <v>51</v>
      </c>
      <c r="AD32" s="50">
        <v>16505</v>
      </c>
      <c r="AE32" s="45">
        <f>AB32*'Factors &amp; Percentages'!$E$16+AC32*'Factors &amp; Percentages'!$E$17+AD32*'Factors &amp; Percentages'!$E$18</f>
        <v>10292.934868761491</v>
      </c>
      <c r="AF32" s="45">
        <f t="shared" si="3"/>
        <v>38655.189152548912</v>
      </c>
      <c r="AG32" s="51">
        <f t="shared" si="4"/>
        <v>35534.85</v>
      </c>
      <c r="AH32" s="26">
        <f>IF($AL32&gt;$AF32,$AL32*(1+'Factors &amp; Percentages'!$B$3),
IF($AF32&gt;$AG32,$AG32,
IF($AF32&gt;$BOJ32,$AF32,
$AL32*(1+'Factors &amp; Percentages'!$B$3))))</f>
        <v>35534.85</v>
      </c>
      <c r="AI32" s="26">
        <f>IF(+MIN(AH32,+X32*2*AK$1)-(AL32*(1+'Factors &amp; Percentages'!B$3))&gt;0,0,+MIN(AH32,+X32*2*AK$1)-(AL32*(1+'Factors &amp; Percentages'!B$3)))</f>
        <v>0</v>
      </c>
      <c r="AJ32" s="26">
        <f t="shared" si="5"/>
        <v>35534.85</v>
      </c>
      <c r="AK32" s="51"/>
      <c r="AL32" s="52">
        <v>26000</v>
      </c>
    </row>
    <row r="33" spans="1:38" hidden="1" x14ac:dyDescent="0.25">
      <c r="A33" s="53">
        <v>130212</v>
      </c>
      <c r="B33" s="54" t="s">
        <v>32</v>
      </c>
      <c r="C33" s="54" t="s">
        <v>32</v>
      </c>
      <c r="D33" s="55" t="s">
        <v>32</v>
      </c>
      <c r="E33" s="56" t="s">
        <v>237</v>
      </c>
      <c r="F33" s="56" t="s">
        <v>239</v>
      </c>
      <c r="G33" s="64">
        <f t="shared" si="0"/>
        <v>12582.7</v>
      </c>
      <c r="H33" s="64">
        <v>11316.780597254126</v>
      </c>
      <c r="I33" s="57">
        <v>19358</v>
      </c>
      <c r="J33" s="57">
        <v>21948</v>
      </c>
      <c r="K33" s="58">
        <v>29467</v>
      </c>
      <c r="L33" s="57">
        <v>11711</v>
      </c>
      <c r="M33" s="58">
        <v>15838</v>
      </c>
      <c r="N33" s="58">
        <v>19512</v>
      </c>
      <c r="O33" s="57">
        <v>4238</v>
      </c>
      <c r="P33" s="58">
        <v>4996</v>
      </c>
      <c r="Q33" s="58">
        <v>7362</v>
      </c>
      <c r="R33" s="57">
        <v>250</v>
      </c>
      <c r="S33" s="58">
        <v>8718</v>
      </c>
      <c r="T33" s="58">
        <v>19481</v>
      </c>
      <c r="U33" s="59">
        <f t="shared" si="1"/>
        <v>19383</v>
      </c>
      <c r="V33" s="59">
        <f t="shared" si="2"/>
        <v>12134.8</v>
      </c>
      <c r="W33" s="59">
        <f>SUM(U33*'Factors &amp; Percentages'!$E$6+V33*'Factors &amp; Percentages'!$E$7)</f>
        <v>2693.5456233934165</v>
      </c>
      <c r="X33" s="60">
        <v>0.33</v>
      </c>
      <c r="Y33" s="59">
        <f>X33*'Factors &amp; Percentages'!$E$10</f>
        <v>4673.1198644821716</v>
      </c>
      <c r="Z33" s="61">
        <v>2.6656004264960682E-2</v>
      </c>
      <c r="AA33" s="59">
        <f>+'Factors &amp; Percentages'!E$13*Z33</f>
        <v>4442.8668877499822</v>
      </c>
      <c r="AB33" s="62">
        <v>9</v>
      </c>
      <c r="AC33" s="85">
        <v>14</v>
      </c>
      <c r="AD33" s="63">
        <v>1499</v>
      </c>
      <c r="AE33" s="59">
        <f>AB33*'Factors &amp; Percentages'!$E$16+AC33*'Factors &amp; Percentages'!$E$17+AD33*'Factors &amp; Percentages'!$E$18</f>
        <v>1893.031040542415</v>
      </c>
      <c r="AF33" s="59">
        <f t="shared" si="3"/>
        <v>13702.563416167986</v>
      </c>
      <c r="AG33" s="65">
        <f t="shared" si="4"/>
        <v>12582.7</v>
      </c>
      <c r="AH33" s="64">
        <f>IF($AL33&gt;$AF33,$AL33*(1+'Factors &amp; Percentages'!$B$3),
IF($AF33&gt;$AG33,$AG33,
IF($AF33&gt;$BOJ33,$AF33,
$AL33*(1+'Factors &amp; Percentages'!$B$3))))</f>
        <v>12582.7</v>
      </c>
      <c r="AI33" s="64">
        <f>IF(+MIN(AH33,+X33*2*AK$1)-(AL33*(1+'Factors &amp; Percentages'!B$3))&gt;0,0,+MIN(AH33,+X33*2*AK$1)-(AL33*(1+'Factors &amp; Percentages'!B$3)))</f>
        <v>0</v>
      </c>
      <c r="AJ33" s="64">
        <f t="shared" si="5"/>
        <v>12582.7</v>
      </c>
      <c r="AK33" s="65"/>
      <c r="AL33" s="66">
        <v>8000</v>
      </c>
    </row>
    <row r="34" spans="1:38" hidden="1" x14ac:dyDescent="0.25">
      <c r="A34" s="39">
        <v>130225</v>
      </c>
      <c r="B34" s="40" t="s">
        <v>276</v>
      </c>
      <c r="C34" s="40" t="s">
        <v>276</v>
      </c>
      <c r="D34" s="41" t="s">
        <v>208</v>
      </c>
      <c r="E34" s="42" t="s">
        <v>237</v>
      </c>
      <c r="F34" s="42" t="s">
        <v>360</v>
      </c>
      <c r="G34" s="26">
        <f t="shared" si="0"/>
        <v>21544.18604651163</v>
      </c>
      <c r="H34" s="26">
        <v>21544.18604651163</v>
      </c>
      <c r="I34" s="43">
        <v>35068</v>
      </c>
      <c r="J34" s="43">
        <v>40806</v>
      </c>
      <c r="K34" s="44">
        <v>37230</v>
      </c>
      <c r="L34" s="43">
        <v>41168</v>
      </c>
      <c r="M34" s="44">
        <v>109988</v>
      </c>
      <c r="N34" s="44">
        <v>123494</v>
      </c>
      <c r="O34" s="43">
        <v>21337</v>
      </c>
      <c r="P34" s="44">
        <v>11665</v>
      </c>
      <c r="Q34" s="44">
        <v>665</v>
      </c>
      <c r="R34" s="43">
        <v>8769</v>
      </c>
      <c r="S34" s="44">
        <v>11000</v>
      </c>
      <c r="T34" s="44">
        <v>0</v>
      </c>
      <c r="U34" s="45">
        <f t="shared" ref="U34:U65" si="6">I34+R34*0.1</f>
        <v>35944.9</v>
      </c>
      <c r="V34" s="45">
        <f t="shared" ref="V34:V65" si="7">L34+0.1*O34</f>
        <v>43301.7</v>
      </c>
      <c r="W34" s="45">
        <f>SUM(U34*'Factors &amp; Percentages'!$E$6+V34*'Factors &amp; Percentages'!$E$7)</f>
        <v>6454.2339399784651</v>
      </c>
      <c r="X34" s="46">
        <v>0.1</v>
      </c>
      <c r="Y34" s="45">
        <f>X34*'Factors &amp; Percentages'!$E$10</f>
        <v>1416.096928630961</v>
      </c>
      <c r="Z34" s="47">
        <v>8.2856906123125351E-2</v>
      </c>
      <c r="AA34" s="45">
        <f>+'Factors &amp; Percentages'!E$13*Z34</f>
        <v>13810.104506913627</v>
      </c>
      <c r="AB34" s="48">
        <v>19</v>
      </c>
      <c r="AC34" s="49">
        <v>80</v>
      </c>
      <c r="AD34" s="50">
        <v>1074</v>
      </c>
      <c r="AE34" s="45">
        <f>AB34*'Factors &amp; Percentages'!$E$16+AC34*'Factors &amp; Percentages'!$E$17+AD34*'Factors &amp; Percentages'!$E$18</f>
        <v>4815.4606125155087</v>
      </c>
      <c r="AF34" s="45">
        <f t="shared" ref="AF34:AF65" si="8">W34+Y34+AA34+AE34</f>
        <v>26495.895988038563</v>
      </c>
      <c r="AG34" s="51">
        <f t="shared" ref="AG34:AG65" si="9">IF($L34&gt;SUM(I34:K34)/3,$AF34,MIN(AF34,$I34*0.65))</f>
        <v>26495.895988038563</v>
      </c>
      <c r="AH34" s="26">
        <f>IF($AL34&gt;$AF34,$AL34*(1+'Factors &amp; Percentages'!$B$3),
IF($AF34&gt;$AG34,$AG34,
IF($AF34&gt;$BOJ34,$AF34,
$AL34*(1+'Factors &amp; Percentages'!$B$3))))</f>
        <v>26495.895988038563</v>
      </c>
      <c r="AI34" s="26">
        <f>IF(+MIN(AH34,+X34*2*AK$1)-(AL34*(1+'Factors &amp; Percentages'!B$3))&gt;0,0,+MIN(AH34,+X34*2*AK$1)-(AL34*(1+'Factors &amp; Percentages'!B$3)))</f>
        <v>0</v>
      </c>
      <c r="AJ34" s="26">
        <f t="shared" si="5"/>
        <v>21544.18604651163</v>
      </c>
      <c r="AK34" s="51"/>
      <c r="AL34" s="52">
        <v>12000</v>
      </c>
    </row>
    <row r="35" spans="1:38" hidden="1" x14ac:dyDescent="0.25">
      <c r="A35" s="53">
        <v>130141</v>
      </c>
      <c r="B35" s="54" t="s">
        <v>160</v>
      </c>
      <c r="C35" s="54" t="s">
        <v>160</v>
      </c>
      <c r="D35" s="55" t="s">
        <v>160</v>
      </c>
      <c r="E35" s="56" t="s">
        <v>356</v>
      </c>
      <c r="F35" s="56" t="s">
        <v>358</v>
      </c>
      <c r="G35" s="64">
        <f t="shared" si="0"/>
        <v>46350</v>
      </c>
      <c r="H35" s="64">
        <v>49836.15</v>
      </c>
      <c r="I35" s="57">
        <v>70305</v>
      </c>
      <c r="J35" s="57">
        <v>72710</v>
      </c>
      <c r="K35" s="58">
        <v>73706</v>
      </c>
      <c r="L35" s="57">
        <v>53385</v>
      </c>
      <c r="M35" s="58">
        <v>59383</v>
      </c>
      <c r="N35" s="58">
        <v>65006</v>
      </c>
      <c r="O35" s="57">
        <v>126453</v>
      </c>
      <c r="P35" s="58">
        <v>132563</v>
      </c>
      <c r="Q35" s="58">
        <v>45099</v>
      </c>
      <c r="R35" s="57">
        <v>3549</v>
      </c>
      <c r="S35" s="58">
        <v>4480</v>
      </c>
      <c r="T35" s="58">
        <v>15697</v>
      </c>
      <c r="U35" s="59">
        <f t="shared" si="6"/>
        <v>70659.899999999994</v>
      </c>
      <c r="V35" s="59">
        <f t="shared" si="7"/>
        <v>66030.3</v>
      </c>
      <c r="W35" s="59">
        <f>SUM(U35*'Factors &amp; Percentages'!$E$6+V35*'Factors &amp; Percentages'!$E$7)</f>
        <v>11348.198488109587</v>
      </c>
      <c r="X35" s="60">
        <v>1</v>
      </c>
      <c r="Y35" s="59">
        <f>X35*'Factors &amp; Percentages'!$E$10</f>
        <v>14160.96928630961</v>
      </c>
      <c r="Z35" s="61">
        <v>4.214412447688605E-2</v>
      </c>
      <c r="AA35" s="59">
        <f>+'Factors &amp; Percentages'!E$13*Z35</f>
        <v>7024.33617921117</v>
      </c>
      <c r="AB35" s="62">
        <v>45</v>
      </c>
      <c r="AC35" s="85">
        <v>79</v>
      </c>
      <c r="AD35" s="63">
        <v>17091</v>
      </c>
      <c r="AE35" s="59">
        <f>AB35*'Factors &amp; Percentages'!$E$16+AC35*'Factors &amp; Percentages'!$E$17+AD35*'Factors &amp; Percentages'!$E$18</f>
        <v>11802.958842546646</v>
      </c>
      <c r="AF35" s="59">
        <f t="shared" si="8"/>
        <v>44336.462796177017</v>
      </c>
      <c r="AG35" s="65">
        <f t="shared" si="9"/>
        <v>44336.462796177017</v>
      </c>
      <c r="AH35" s="64">
        <f>IF($AL35&gt;$AF35,$AL35*(1+'Factors &amp; Percentages'!$B$3),
IF($AF35&gt;$AG35,$AG35,
IF($AF35&gt;$BOJ35,$AF35,
$AL35*(1+'Factors &amp; Percentages'!$B$3))))</f>
        <v>46350</v>
      </c>
      <c r="AI35" s="64">
        <f>IF(+MIN(AH35,+X35*2*AK$1)-(AL35*(1+'Factors &amp; Percentages'!B$3))&gt;0,0,+MIN(AH35,+X35*2*AK$1)-(AL35*(1+'Factors &amp; Percentages'!B$3)))</f>
        <v>0</v>
      </c>
      <c r="AJ35" s="64">
        <f t="shared" si="5"/>
        <v>46350</v>
      </c>
      <c r="AK35" s="65"/>
      <c r="AL35" s="66">
        <v>45000</v>
      </c>
    </row>
    <row r="36" spans="1:38" hidden="1" x14ac:dyDescent="0.25">
      <c r="A36" s="39">
        <v>130273</v>
      </c>
      <c r="B36" s="40" t="s">
        <v>363</v>
      </c>
      <c r="C36" s="40" t="s">
        <v>277</v>
      </c>
      <c r="D36" s="41" t="s">
        <v>77</v>
      </c>
      <c r="E36" s="42" t="s">
        <v>356</v>
      </c>
      <c r="F36" s="42" t="s">
        <v>356</v>
      </c>
      <c r="G36" s="26">
        <f t="shared" si="0"/>
        <v>30403.344444379327</v>
      </c>
      <c r="H36" s="26">
        <v>26374.733141591347</v>
      </c>
      <c r="I36" s="43">
        <v>47837</v>
      </c>
      <c r="J36" s="43">
        <v>45272</v>
      </c>
      <c r="K36" s="44">
        <v>47419</v>
      </c>
      <c r="L36" s="43">
        <v>20584</v>
      </c>
      <c r="M36" s="44">
        <v>23973</v>
      </c>
      <c r="N36" s="44">
        <v>22859</v>
      </c>
      <c r="O36" s="43">
        <v>4322</v>
      </c>
      <c r="P36" s="44">
        <v>4908</v>
      </c>
      <c r="Q36" s="44">
        <v>4906</v>
      </c>
      <c r="R36" s="43">
        <v>1</v>
      </c>
      <c r="S36" s="44">
        <v>2</v>
      </c>
      <c r="T36" s="44">
        <v>501</v>
      </c>
      <c r="U36" s="45">
        <f t="shared" si="6"/>
        <v>47837.1</v>
      </c>
      <c r="V36" s="45">
        <f t="shared" si="7"/>
        <v>21016.2</v>
      </c>
      <c r="W36" s="45">
        <f>SUM(U36*'Factors &amp; Percentages'!$E$6+V36*'Factors &amp; Percentages'!$E$7)</f>
        <v>6020.9669690999435</v>
      </c>
      <c r="X36" s="46">
        <v>0.7</v>
      </c>
      <c r="Y36" s="45">
        <f>X36*'Factors &amp; Percentages'!$E$10</f>
        <v>9912.6785004167268</v>
      </c>
      <c r="Z36" s="47">
        <v>2.1570272712957909E-2</v>
      </c>
      <c r="AA36" s="45">
        <f>+'Factors &amp; Percentages'!E$13*Z36</f>
        <v>3595.2068976111045</v>
      </c>
      <c r="AB36" s="48">
        <v>40</v>
      </c>
      <c r="AC36" s="49">
        <v>109</v>
      </c>
      <c r="AD36" s="50">
        <v>12463</v>
      </c>
      <c r="AE36" s="45">
        <f>AB36*'Factors &amp; Percentages'!$E$16+AC36*'Factors &amp; Percentages'!$E$17+AD36*'Factors &amp; Percentages'!$E$18</f>
        <v>10874.492077251549</v>
      </c>
      <c r="AF36" s="45">
        <f t="shared" si="8"/>
        <v>30403.344444379327</v>
      </c>
      <c r="AG36" s="51">
        <f t="shared" si="9"/>
        <v>30403.344444379327</v>
      </c>
      <c r="AH36" s="26">
        <f>IF($AL36&gt;$AF36,$AL36*(1+'Factors &amp; Percentages'!$B$3),
IF($AF36&gt;$AG36,$AG36,
IF($AF36&gt;$BOJ36,$AF36,
$AL36*(1+'Factors &amp; Percentages'!$B$3))))</f>
        <v>30403.344444379327</v>
      </c>
      <c r="AI36" s="26">
        <f>IF(+MIN(AH36,+X36*2*AK$1)-(AL36*(1+'Factors &amp; Percentages'!B$3))&gt;0,0,+MIN(AH36,+X36*2*AK$1)-(AL36*(1+'Factors &amp; Percentages'!B$3)))</f>
        <v>0</v>
      </c>
      <c r="AJ36" s="26">
        <f t="shared" si="5"/>
        <v>30403.344444379327</v>
      </c>
      <c r="AK36" s="51"/>
      <c r="AL36" s="52">
        <v>9000</v>
      </c>
    </row>
    <row r="37" spans="1:38" hidden="1" x14ac:dyDescent="0.25">
      <c r="A37" s="53">
        <v>130190</v>
      </c>
      <c r="B37" s="54" t="s">
        <v>12</v>
      </c>
      <c r="C37" s="54" t="s">
        <v>12</v>
      </c>
      <c r="D37" s="55" t="s">
        <v>12</v>
      </c>
      <c r="E37" s="56" t="s">
        <v>237</v>
      </c>
      <c r="F37" s="56" t="s">
        <v>237</v>
      </c>
      <c r="G37" s="64">
        <v>11536</v>
      </c>
      <c r="H37" s="64">
        <v>10193.950000000001</v>
      </c>
      <c r="I37" s="57">
        <v>17748</v>
      </c>
      <c r="J37" s="57">
        <v>15683</v>
      </c>
      <c r="K37" s="58">
        <v>16582</v>
      </c>
      <c r="L37" s="57">
        <v>19723</v>
      </c>
      <c r="M37" s="58">
        <v>7963</v>
      </c>
      <c r="N37" s="58">
        <v>5214</v>
      </c>
      <c r="O37" s="57">
        <v>55060</v>
      </c>
      <c r="P37" s="58">
        <v>65052</v>
      </c>
      <c r="Q37" s="58">
        <v>70212</v>
      </c>
      <c r="R37" s="57">
        <v>10</v>
      </c>
      <c r="S37" s="58">
        <v>20</v>
      </c>
      <c r="T37" s="58">
        <v>15</v>
      </c>
      <c r="U37" s="59">
        <f t="shared" si="6"/>
        <v>17749</v>
      </c>
      <c r="V37" s="59">
        <f t="shared" si="7"/>
        <v>25229</v>
      </c>
      <c r="W37" s="59">
        <f>SUM(U37*'Factors &amp; Percentages'!$E$6+V37*'Factors &amp; Percentages'!$E$7)</f>
        <v>3456.9176598726731</v>
      </c>
      <c r="X37" s="60">
        <v>1</v>
      </c>
      <c r="Y37" s="59">
        <f>X37*'Factors &amp; Percentages'!$E$10</f>
        <v>14160.96928630961</v>
      </c>
      <c r="Z37" s="61">
        <v>2.1450343527251586E-2</v>
      </c>
      <c r="AA37" s="59">
        <f>+'Factors &amp; Percentages'!E$13*Z37</f>
        <v>3575.2178023681299</v>
      </c>
      <c r="AB37" s="62">
        <v>19</v>
      </c>
      <c r="AC37" s="85">
        <v>32</v>
      </c>
      <c r="AD37" s="63">
        <v>4250</v>
      </c>
      <c r="AE37" s="59">
        <f>AB37*'Factors &amp; Percentages'!$E$16+AC37*'Factors &amp; Percentages'!$E$17+AD37*'Factors &amp; Percentages'!$E$18</f>
        <v>4296.9946610879488</v>
      </c>
      <c r="AF37" s="59">
        <f t="shared" si="8"/>
        <v>25490.099409638362</v>
      </c>
      <c r="AG37" s="65">
        <f t="shared" si="9"/>
        <v>25490.099409638362</v>
      </c>
      <c r="AH37" s="64">
        <f>IF($AL37&gt;$AF37,$AL37*(1+'Factors &amp; Percentages'!$B$3),
IF($AF37&gt;$AG37,$AG37,
IF($AF37&gt;$BOJ37,$AF37,
$AL37*(1+'Factors &amp; Percentages'!$B$3))))</f>
        <v>25490.099409638362</v>
      </c>
      <c r="AI37" s="64">
        <f>IF(+MIN(AH37,+X37*2*AK$1)-(AL37*(1+'Factors &amp; Percentages'!B$3))&gt;0,0,+MIN(AH37,+X37*2*AK$1)-(AL37*(1+'Factors &amp; Percentages'!B$3)))</f>
        <v>0</v>
      </c>
      <c r="AJ37" s="64">
        <f t="shared" si="5"/>
        <v>25490.099409638362</v>
      </c>
      <c r="AK37" s="65"/>
      <c r="AL37" s="66">
        <v>3000</v>
      </c>
    </row>
    <row r="38" spans="1:38" hidden="1" x14ac:dyDescent="0.25">
      <c r="A38" s="39">
        <v>130272</v>
      </c>
      <c r="B38" s="40" t="s">
        <v>78</v>
      </c>
      <c r="C38" s="40" t="s">
        <v>78</v>
      </c>
      <c r="D38" s="41" t="s">
        <v>78</v>
      </c>
      <c r="E38" s="42" t="s">
        <v>356</v>
      </c>
      <c r="F38" s="42" t="s">
        <v>356</v>
      </c>
      <c r="G38" s="26">
        <v>14234</v>
      </c>
      <c r="H38" s="26">
        <v>16809</v>
      </c>
      <c r="I38" s="43">
        <v>21898</v>
      </c>
      <c r="J38" s="43">
        <v>25860</v>
      </c>
      <c r="K38" s="44">
        <v>23350</v>
      </c>
      <c r="L38" s="43">
        <v>24738</v>
      </c>
      <c r="M38" s="44">
        <v>20851</v>
      </c>
      <c r="N38" s="44">
        <v>28957</v>
      </c>
      <c r="O38" s="43">
        <v>0</v>
      </c>
      <c r="P38" s="44">
        <v>0</v>
      </c>
      <c r="Q38" s="44">
        <v>0</v>
      </c>
      <c r="R38" s="43">
        <v>0</v>
      </c>
      <c r="S38" s="44">
        <v>261</v>
      </c>
      <c r="T38" s="44">
        <v>436</v>
      </c>
      <c r="U38" s="45">
        <f t="shared" si="6"/>
        <v>21898</v>
      </c>
      <c r="V38" s="45">
        <f t="shared" si="7"/>
        <v>24738</v>
      </c>
      <c r="W38" s="45">
        <f>SUM(U38*'Factors &amp; Percentages'!$E$6+V38*'Factors &amp; Percentages'!$E$7)</f>
        <v>3816.7963150792493</v>
      </c>
      <c r="X38" s="46">
        <v>0.25</v>
      </c>
      <c r="Y38" s="45">
        <f>X38*'Factors &amp; Percentages'!$E$10</f>
        <v>3540.2423215774024</v>
      </c>
      <c r="Z38" s="47">
        <v>5.1971810489990229E-2</v>
      </c>
      <c r="AA38" s="45">
        <f>+'Factors &amp; Percentages'!E$13*Z38</f>
        <v>8662.3574046286394</v>
      </c>
      <c r="AB38" s="48">
        <v>14</v>
      </c>
      <c r="AC38" s="49">
        <v>34</v>
      </c>
      <c r="AD38" s="50">
        <v>4502</v>
      </c>
      <c r="AE38" s="45">
        <f>AB38*'Factors &amp; Percentages'!$E$16+AC38*'Factors &amp; Percentages'!$E$17+AD38*'Factors &amp; Percentages'!$E$18</f>
        <v>3731.6456866965732</v>
      </c>
      <c r="AF38" s="45">
        <f t="shared" si="8"/>
        <v>19751.041727981865</v>
      </c>
      <c r="AG38" s="51">
        <f t="shared" si="9"/>
        <v>19751.041727981865</v>
      </c>
      <c r="AH38" s="26">
        <f>IF($AL38&gt;$AF38,$AL38*(1+'Factors &amp; Percentages'!$B$3),
IF($AF38&gt;$AG38,$AG38,
IF($AF38&gt;$BOJ38,$AF38,
$AL38*(1+'Factors &amp; Percentages'!$B$3))))</f>
        <v>19751.041727981865</v>
      </c>
      <c r="AI38" s="26">
        <f>IF(+MIN(AH38,+X38*2*AK$1)-(AL38*(1+'Factors &amp; Percentages'!B$3))&gt;0,0,+MIN(AH38,+X38*2*AK$1)-(AL38*(1+'Factors &amp; Percentages'!B$3)))</f>
        <v>0</v>
      </c>
      <c r="AJ38" s="26">
        <f t="shared" si="5"/>
        <v>19751.041727981865</v>
      </c>
      <c r="AK38" s="51"/>
      <c r="AL38" s="52">
        <v>6000</v>
      </c>
    </row>
    <row r="39" spans="1:38" hidden="1" x14ac:dyDescent="0.25">
      <c r="A39" s="53">
        <v>130283</v>
      </c>
      <c r="B39" s="54" t="s">
        <v>278</v>
      </c>
      <c r="C39" s="54" t="s">
        <v>278</v>
      </c>
      <c r="D39" s="55" t="s">
        <v>203</v>
      </c>
      <c r="E39" s="56" t="s">
        <v>237</v>
      </c>
      <c r="F39" s="56" t="s">
        <v>237</v>
      </c>
      <c r="G39" s="64">
        <f>+AJ39</f>
        <v>32319.103188421144</v>
      </c>
      <c r="H39" s="64">
        <v>24300.178788130004</v>
      </c>
      <c r="I39" s="57">
        <v>47730</v>
      </c>
      <c r="J39" s="57">
        <v>42685</v>
      </c>
      <c r="K39" s="58">
        <v>33602</v>
      </c>
      <c r="L39" s="57">
        <v>83191</v>
      </c>
      <c r="M39" s="58">
        <v>69129</v>
      </c>
      <c r="N39" s="58">
        <v>60354</v>
      </c>
      <c r="O39" s="57">
        <v>120550</v>
      </c>
      <c r="P39" s="58">
        <v>550</v>
      </c>
      <c r="Q39" s="58">
        <v>0</v>
      </c>
      <c r="R39" s="57">
        <v>0</v>
      </c>
      <c r="S39" s="58">
        <v>550</v>
      </c>
      <c r="T39" s="58">
        <v>0</v>
      </c>
      <c r="U39" s="59">
        <f t="shared" si="6"/>
        <v>47730</v>
      </c>
      <c r="V39" s="59">
        <f t="shared" si="7"/>
        <v>95246</v>
      </c>
      <c r="W39" s="59">
        <f>SUM(U39*'Factors &amp; Percentages'!$E$6+V39*'Factors &amp; Percentages'!$E$7)</f>
        <v>11218.640266807008</v>
      </c>
      <c r="X39" s="60">
        <v>0.5</v>
      </c>
      <c r="Y39" s="59">
        <f>X39*'Factors &amp; Percentages'!$E$10</f>
        <v>7080.4846431548049</v>
      </c>
      <c r="Z39" s="61">
        <v>3.1693511070543419E-2</v>
      </c>
      <c r="AA39" s="59">
        <f>+'Factors &amp; Percentages'!E$13*Z39</f>
        <v>5282.4890592079346</v>
      </c>
      <c r="AB39" s="62">
        <v>36</v>
      </c>
      <c r="AC39" s="85">
        <v>35</v>
      </c>
      <c r="AD39" s="63">
        <v>13718</v>
      </c>
      <c r="AE39" s="59">
        <f>AB39*'Factors &amp; Percentages'!$E$16+AC39*'Factors &amp; Percentages'!$E$17+AD39*'Factors &amp; Percentages'!$E$18</f>
        <v>8737.4892192513944</v>
      </c>
      <c r="AF39" s="59">
        <f t="shared" si="8"/>
        <v>32319.103188421144</v>
      </c>
      <c r="AG39" s="65">
        <f t="shared" si="9"/>
        <v>32319.103188421144</v>
      </c>
      <c r="AH39" s="64">
        <f>IF($AL39&gt;$AF39,$AL39*(1+'Factors &amp; Percentages'!$B$3),
IF($AF39&gt;$AG39,$AG39,
IF($AF39&gt;$BOJ39,$AF39,
$AL39*(1+'Factors &amp; Percentages'!$B$3))))</f>
        <v>32319.103188421144</v>
      </c>
      <c r="AI39" s="64">
        <f>IF(+MIN(AH39,+X39*2*AK$1)-(AL39*(1+'Factors &amp; Percentages'!B$3))&gt;0,0,+MIN(AH39,+X39*2*AK$1)-(AL39*(1+'Factors &amp; Percentages'!B$3)))</f>
        <v>0</v>
      </c>
      <c r="AJ39" s="64">
        <f t="shared" si="5"/>
        <v>32319.103188421144</v>
      </c>
      <c r="AK39" s="65"/>
      <c r="AL39" s="66">
        <v>15600</v>
      </c>
    </row>
    <row r="40" spans="1:38" hidden="1" x14ac:dyDescent="0.25">
      <c r="A40" s="39">
        <v>130019</v>
      </c>
      <c r="B40" s="40" t="s">
        <v>13</v>
      </c>
      <c r="C40" s="40" t="s">
        <v>13</v>
      </c>
      <c r="D40" s="41" t="s">
        <v>13</v>
      </c>
      <c r="E40" s="42" t="s">
        <v>237</v>
      </c>
      <c r="F40" s="42" t="s">
        <v>237</v>
      </c>
      <c r="G40" s="26">
        <f>+AJ40</f>
        <v>12450.75</v>
      </c>
      <c r="H40" s="26">
        <v>11357.504902269211</v>
      </c>
      <c r="I40" s="43">
        <v>19155</v>
      </c>
      <c r="J40" s="43">
        <v>23498</v>
      </c>
      <c r="K40" s="44">
        <v>16702</v>
      </c>
      <c r="L40" s="43">
        <v>3171</v>
      </c>
      <c r="M40" s="44">
        <v>2141</v>
      </c>
      <c r="N40" s="44">
        <v>1149</v>
      </c>
      <c r="O40" s="43">
        <v>8500</v>
      </c>
      <c r="P40" s="44">
        <v>8274</v>
      </c>
      <c r="Q40" s="44">
        <v>5235</v>
      </c>
      <c r="R40" s="43">
        <v>2545</v>
      </c>
      <c r="S40" s="44">
        <v>4152</v>
      </c>
      <c r="T40" s="44">
        <v>5235</v>
      </c>
      <c r="U40" s="45">
        <f t="shared" si="6"/>
        <v>19409.5</v>
      </c>
      <c r="V40" s="45">
        <f t="shared" si="7"/>
        <v>4021</v>
      </c>
      <c r="W40" s="45">
        <f>SUM(U40*'Factors &amp; Percentages'!$E$6+V40*'Factors &amp; Percentages'!$E$7)</f>
        <v>2126.8120938210991</v>
      </c>
      <c r="X40" s="46">
        <v>0.25</v>
      </c>
      <c r="Y40" s="45">
        <f>X40*'Factors &amp; Percentages'!$E$10</f>
        <v>3540.2423215774024</v>
      </c>
      <c r="Z40" s="47">
        <v>3.2176067441037355E-2</v>
      </c>
      <c r="AA40" s="45">
        <f>+'Factors &amp; Percentages'!E$13*Z40</f>
        <v>5362.918732711496</v>
      </c>
      <c r="AB40" s="48">
        <v>15</v>
      </c>
      <c r="AC40" s="49">
        <v>17</v>
      </c>
      <c r="AD40" s="50">
        <v>866</v>
      </c>
      <c r="AE40" s="45">
        <f>AB40*'Factors &amp; Percentages'!$E$16+AC40*'Factors &amp; Percentages'!$E$17+AD40*'Factors &amp; Percentages'!$E$18</f>
        <v>2635.6471981465911</v>
      </c>
      <c r="AF40" s="45">
        <f t="shared" si="8"/>
        <v>13665.620346256588</v>
      </c>
      <c r="AG40" s="51">
        <f t="shared" si="9"/>
        <v>12450.75</v>
      </c>
      <c r="AH40" s="26">
        <f>IF($AL40&gt;$AF40,$AL40*(1+'Factors &amp; Percentages'!$B$3),
IF($AF40&gt;$AG40,$AG40,
IF($AF40&gt;$BOJ40,$AF40,
$AL40*(1+'Factors &amp; Percentages'!$B$3))))</f>
        <v>12450.75</v>
      </c>
      <c r="AI40" s="26">
        <f>IF(+MIN(AH40,+X40*2*AK$1)-(AL40*(1+'Factors &amp; Percentages'!B$3))&gt;0,0,+MIN(AH40,+X40*2*AK$1)-(AL40*(1+'Factors &amp; Percentages'!B$3)))</f>
        <v>0</v>
      </c>
      <c r="AJ40" s="26">
        <f t="shared" si="5"/>
        <v>12450.75</v>
      </c>
      <c r="AK40" s="51"/>
      <c r="AL40" s="52">
        <v>11300</v>
      </c>
    </row>
    <row r="41" spans="1:38" x14ac:dyDescent="0.25">
      <c r="A41" s="53">
        <v>130042</v>
      </c>
      <c r="B41" s="54" t="s">
        <v>96</v>
      </c>
      <c r="C41" s="54" t="s">
        <v>96</v>
      </c>
      <c r="D41" s="55" t="s">
        <v>96</v>
      </c>
      <c r="E41" s="56" t="s">
        <v>357</v>
      </c>
      <c r="F41" s="56" t="s">
        <v>95</v>
      </c>
      <c r="G41" s="64">
        <v>22140</v>
      </c>
      <c r="H41" s="64">
        <v>20258.719826603923</v>
      </c>
      <c r="I41" s="57">
        <v>15313</v>
      </c>
      <c r="J41" s="57">
        <v>16014</v>
      </c>
      <c r="K41" s="58">
        <v>13174</v>
      </c>
      <c r="L41" s="57">
        <v>12167</v>
      </c>
      <c r="M41" s="58">
        <v>30017</v>
      </c>
      <c r="N41" s="58">
        <v>30702</v>
      </c>
      <c r="O41" s="57">
        <v>27901</v>
      </c>
      <c r="P41" s="58">
        <v>8374</v>
      </c>
      <c r="Q41" s="58">
        <v>8374</v>
      </c>
      <c r="R41" s="57">
        <v>0</v>
      </c>
      <c r="S41" s="58">
        <v>0</v>
      </c>
      <c r="T41" s="58">
        <v>20</v>
      </c>
      <c r="U41" s="59">
        <f t="shared" si="6"/>
        <v>15313</v>
      </c>
      <c r="V41" s="59">
        <f t="shared" si="7"/>
        <v>14957.1</v>
      </c>
      <c r="W41" s="59">
        <f>SUM(U41*'Factors &amp; Percentages'!$E$6+V41*'Factors &amp; Percentages'!$E$7)</f>
        <v>2504.7357695745873</v>
      </c>
      <c r="X41" s="60">
        <v>0.2</v>
      </c>
      <c r="Y41" s="59">
        <f>X41*'Factors &amp; Percentages'!$E$10</f>
        <v>2832.1938572619219</v>
      </c>
      <c r="Z41" s="61">
        <v>5.5113727176027728E-2</v>
      </c>
      <c r="AA41" s="59">
        <f>+'Factors &amp; Percentages'!E$13*Z41</f>
        <v>9186.0337017102102</v>
      </c>
      <c r="AB41" s="62">
        <v>20</v>
      </c>
      <c r="AC41" s="85">
        <v>31</v>
      </c>
      <c r="AD41" s="63">
        <v>1469</v>
      </c>
      <c r="AE41" s="59">
        <f>AB41*'Factors &amp; Percentages'!$E$16+AC41*'Factors &amp; Percentages'!$E$17+AD41*'Factors &amp; Percentages'!$E$18</f>
        <v>3794.5358951065919</v>
      </c>
      <c r="AF41" s="59">
        <f t="shared" si="8"/>
        <v>18317.499223653311</v>
      </c>
      <c r="AG41" s="65">
        <f t="shared" si="9"/>
        <v>9953.4500000000007</v>
      </c>
      <c r="AH41" s="64">
        <f>IF($AL41&gt;$AF41,$AL41*(1+'Factors &amp; Percentages'!$B$3),
IF($AF41&gt;$AG41,$AG41,
IF($AF41&gt;$BOJ41,$AF41,
$AL41*(1+'Factors &amp; Percentages'!$B$3))))</f>
        <v>9953.4500000000007</v>
      </c>
      <c r="AI41" s="64">
        <f>IF(+MIN(AH41,+X41*2*AK$1)-(AL41*(1+'Factors &amp; Percentages'!B$3))&gt;0,0,+MIN(AH41,+X41*2*AK$1)-(AL41*(1+'Factors &amp; Percentages'!B$3)))</f>
        <v>0</v>
      </c>
      <c r="AJ41" s="64">
        <f t="shared" si="5"/>
        <v>9953.4500000000007</v>
      </c>
      <c r="AK41" s="65"/>
      <c r="AL41" s="66">
        <v>6000</v>
      </c>
    </row>
    <row r="42" spans="1:38" hidden="1" x14ac:dyDescent="0.25">
      <c r="A42" s="39">
        <v>130227</v>
      </c>
      <c r="B42" s="40" t="s">
        <v>383</v>
      </c>
      <c r="C42" s="40" t="s">
        <v>279</v>
      </c>
      <c r="D42" s="41" t="s">
        <v>59</v>
      </c>
      <c r="E42" s="42" t="s">
        <v>237</v>
      </c>
      <c r="F42" s="42" t="s">
        <v>360</v>
      </c>
      <c r="G42" s="26">
        <f t="shared" ref="G42:G58" si="10">+AJ42</f>
        <v>49586.458216435436</v>
      </c>
      <c r="H42" s="26">
        <v>41232.723171336271</v>
      </c>
      <c r="I42" s="43">
        <v>80248</v>
      </c>
      <c r="J42" s="43">
        <v>76050</v>
      </c>
      <c r="K42" s="44">
        <v>71705</v>
      </c>
      <c r="L42" s="43">
        <v>84078</v>
      </c>
      <c r="M42" s="44">
        <v>80073</v>
      </c>
      <c r="N42" s="44">
        <v>93573</v>
      </c>
      <c r="O42" s="43">
        <v>10887</v>
      </c>
      <c r="P42" s="44">
        <v>12177</v>
      </c>
      <c r="Q42" s="44">
        <v>11061</v>
      </c>
      <c r="R42" s="43">
        <v>1146</v>
      </c>
      <c r="S42" s="44">
        <v>1764</v>
      </c>
      <c r="T42" s="44">
        <v>11461</v>
      </c>
      <c r="U42" s="45">
        <f t="shared" si="6"/>
        <v>80362.600000000006</v>
      </c>
      <c r="V42" s="45">
        <f t="shared" si="7"/>
        <v>85166.7</v>
      </c>
      <c r="W42" s="45">
        <f>SUM(U42*'Factors &amp; Percentages'!$E$6+V42*'Factors &amp; Percentages'!$E$7)</f>
        <v>13612.937340243321</v>
      </c>
      <c r="X42" s="46">
        <v>1</v>
      </c>
      <c r="Y42" s="45">
        <f>X42*'Factors &amp; Percentages'!$E$10</f>
        <v>14160.96928630961</v>
      </c>
      <c r="Z42" s="47">
        <v>4.6915758064818805E-2</v>
      </c>
      <c r="AA42" s="45">
        <f>+'Factors &amp; Percentages'!E$13*Z42</f>
        <v>7819.6441577655223</v>
      </c>
      <c r="AB42" s="48">
        <v>75</v>
      </c>
      <c r="AC42" s="49">
        <v>87</v>
      </c>
      <c r="AD42" s="50">
        <v>7805</v>
      </c>
      <c r="AE42" s="45">
        <f>AB42*'Factors &amp; Percentages'!$E$16+AC42*'Factors &amp; Percentages'!$E$17+AD42*'Factors &amp; Percentages'!$E$18</f>
        <v>13992.907432116985</v>
      </c>
      <c r="AF42" s="45">
        <f t="shared" si="8"/>
        <v>49586.458216435436</v>
      </c>
      <c r="AG42" s="51">
        <f t="shared" si="9"/>
        <v>49586.458216435436</v>
      </c>
      <c r="AH42" s="26">
        <f>IF($AL42&gt;$AF42,$AL42*(1+'Factors &amp; Percentages'!$B$3),
IF($AF42&gt;$AG42,$AG42,
IF($AF42&gt;$BOJ42,$AF42,
$AL42*(1+'Factors &amp; Percentages'!$B$3))))</f>
        <v>49586.458216435436</v>
      </c>
      <c r="AI42" s="26">
        <f>IF(+MIN(AH42,+X42*2*AK$1)-(AL42*(1+'Factors &amp; Percentages'!B$3))&gt;0,0,+MIN(AH42,+X42*2*AK$1)-(AL42*(1+'Factors &amp; Percentages'!B$3)))</f>
        <v>0</v>
      </c>
      <c r="AJ42" s="26">
        <f t="shared" si="5"/>
        <v>49586.458216435436</v>
      </c>
      <c r="AK42" s="51"/>
      <c r="AL42" s="52">
        <v>41233</v>
      </c>
    </row>
    <row r="43" spans="1:38" hidden="1" x14ac:dyDescent="0.25">
      <c r="A43" s="53">
        <v>130230</v>
      </c>
      <c r="B43" s="54" t="s">
        <v>384</v>
      </c>
      <c r="C43" s="54" t="s">
        <v>280</v>
      </c>
      <c r="D43" s="55" t="s">
        <v>60</v>
      </c>
      <c r="E43" s="56" t="s">
        <v>237</v>
      </c>
      <c r="F43" s="56" t="s">
        <v>360</v>
      </c>
      <c r="G43" s="64">
        <f t="shared" si="10"/>
        <v>49796.152172582268</v>
      </c>
      <c r="H43" s="64">
        <v>38808.081251470503</v>
      </c>
      <c r="I43" s="57">
        <v>131681</v>
      </c>
      <c r="J43" s="57">
        <v>106955</v>
      </c>
      <c r="K43" s="58">
        <v>103953</v>
      </c>
      <c r="L43" s="57">
        <v>128741</v>
      </c>
      <c r="M43" s="58">
        <v>90625</v>
      </c>
      <c r="N43" s="58">
        <v>74312</v>
      </c>
      <c r="O43" s="57">
        <v>553154</v>
      </c>
      <c r="P43" s="58">
        <v>209161</v>
      </c>
      <c r="Q43" s="58">
        <v>287463</v>
      </c>
      <c r="R43" s="57">
        <v>5648</v>
      </c>
      <c r="S43" s="58">
        <v>5418</v>
      </c>
      <c r="T43" s="58">
        <v>5535</v>
      </c>
      <c r="U43" s="59">
        <f t="shared" si="6"/>
        <v>132245.79999999999</v>
      </c>
      <c r="V43" s="59">
        <f t="shared" si="7"/>
        <v>184056.4</v>
      </c>
      <c r="W43" s="59">
        <v>17270.082887642107</v>
      </c>
      <c r="X43" s="60">
        <v>1</v>
      </c>
      <c r="Y43" s="59">
        <f>X43*'Factors &amp; Percentages'!$E$10</f>
        <v>14160.96928630961</v>
      </c>
      <c r="Z43" s="61">
        <v>2.7955137595187245E-2</v>
      </c>
      <c r="AA43" s="59">
        <f>+'Factors &amp; Percentages'!E$13*Z43</f>
        <v>4659.3988329831654</v>
      </c>
      <c r="AB43" s="62">
        <v>84</v>
      </c>
      <c r="AC43" s="85">
        <v>91</v>
      </c>
      <c r="AD43" s="63">
        <v>540</v>
      </c>
      <c r="AE43" s="59">
        <f>AB43*'Factors &amp; Percentages'!$E$16+AC43*'Factors &amp; Percentages'!$E$17+AD43*'Factors &amp; Percentages'!$E$18</f>
        <v>13705.701165647381</v>
      </c>
      <c r="AF43" s="59">
        <f t="shared" si="8"/>
        <v>49796.152172582268</v>
      </c>
      <c r="AG43" s="65">
        <f t="shared" si="9"/>
        <v>49796.152172582268</v>
      </c>
      <c r="AH43" s="64">
        <f>IF($AL43&gt;$AF43,$AL43*(1+'Factors &amp; Percentages'!$B$3),
IF($AF43&gt;$AG43,$AG43,
IF($AF43&gt;$BOJ43,$AF43,
$AL43*(1+'Factors &amp; Percentages'!$B$3))))</f>
        <v>49796.152172582268</v>
      </c>
      <c r="AI43" s="64">
        <f>IF(+MIN(AH43,+X43*2*AK$1)-(AL43*(1+'Factors &amp; Percentages'!B$3))&gt;0,0,+MIN(AH43,+X43*2*AK$1)-(AL43*(1+'Factors &amp; Percentages'!B$3)))</f>
        <v>0</v>
      </c>
      <c r="AJ43" s="64">
        <f t="shared" si="5"/>
        <v>49796.152172582268</v>
      </c>
      <c r="AK43" s="65"/>
      <c r="AL43" s="66">
        <v>36000</v>
      </c>
    </row>
    <row r="44" spans="1:38" hidden="1" x14ac:dyDescent="0.25">
      <c r="A44" s="39">
        <v>130354</v>
      </c>
      <c r="B44" s="40" t="s">
        <v>385</v>
      </c>
      <c r="C44" s="40" t="s">
        <v>281</v>
      </c>
      <c r="D44" s="41" t="s">
        <v>227</v>
      </c>
      <c r="E44" s="42" t="s">
        <v>237</v>
      </c>
      <c r="F44" s="42" t="s">
        <v>360</v>
      </c>
      <c r="G44" s="26">
        <f t="shared" si="10"/>
        <v>16083.45</v>
      </c>
      <c r="H44" s="26">
        <v>20175.350000000002</v>
      </c>
      <c r="I44" s="43">
        <v>22054</v>
      </c>
      <c r="J44" s="43">
        <v>31039</v>
      </c>
      <c r="K44" s="44">
        <v>25376</v>
      </c>
      <c r="L44" s="43">
        <v>7579</v>
      </c>
      <c r="M44" s="44">
        <v>10703</v>
      </c>
      <c r="N44" s="44">
        <v>4665</v>
      </c>
      <c r="O44" s="43">
        <v>0</v>
      </c>
      <c r="P44" s="44">
        <v>0</v>
      </c>
      <c r="Q44" s="44">
        <v>11816</v>
      </c>
      <c r="R44" s="43">
        <v>0</v>
      </c>
      <c r="S44" s="44">
        <v>0</v>
      </c>
      <c r="T44" s="44">
        <v>3816</v>
      </c>
      <c r="U44" s="45">
        <f t="shared" si="6"/>
        <v>22054</v>
      </c>
      <c r="V44" s="45">
        <f t="shared" si="7"/>
        <v>7579</v>
      </c>
      <c r="W44" s="45">
        <f>SUM(U44*'Factors &amp; Percentages'!$E$6+V44*'Factors &amp; Percentages'!$E$7)</f>
        <v>2627.7728761188941</v>
      </c>
      <c r="X44" s="46">
        <v>1</v>
      </c>
      <c r="Y44" s="45">
        <f>X44*'Factors &amp; Percentages'!$E$10</f>
        <v>14160.96928630961</v>
      </c>
      <c r="Z44" s="47">
        <v>2.8906746834711221E-2</v>
      </c>
      <c r="AA44" s="45">
        <f>+'Factors &amp; Percentages'!E$13*Z44</f>
        <v>4818.0074953442963</v>
      </c>
      <c r="AB44" s="48">
        <v>22</v>
      </c>
      <c r="AC44" s="49">
        <v>25</v>
      </c>
      <c r="AD44" s="50">
        <v>18803</v>
      </c>
      <c r="AE44" s="45">
        <f>AB44*'Factors &amp; Percentages'!$E$16+AC44*'Factors &amp; Percentages'!$E$17+AD44*'Factors &amp; Percentages'!$E$18</f>
        <v>7721.8892920885282</v>
      </c>
      <c r="AF44" s="45">
        <f t="shared" si="8"/>
        <v>29328.638949861328</v>
      </c>
      <c r="AG44" s="51">
        <f t="shared" si="9"/>
        <v>14335.1</v>
      </c>
      <c r="AH44" s="26">
        <f>IF($AL44&gt;$AF44,$AL44*(1+'Factors &amp; Percentages'!$B$3),
IF($AF44&gt;$AG44,$AG44,
IF($AF44&gt;$BOJ44,$AF44,
$AL44*(1+'Factors &amp; Percentages'!$B$3))))</f>
        <v>14335.1</v>
      </c>
      <c r="AI44" s="26">
        <f>IF(+MIN(AH44,+X44*2*AK$1)-(AL44*(1+'Factors &amp; Percentages'!B$3))&gt;0,0,+MIN(AH44,+X44*2*AK$1)-(AL44*(1+'Factors &amp; Percentages'!B$3)))</f>
        <v>-1748.3500000000004</v>
      </c>
      <c r="AJ44" s="26">
        <f t="shared" si="5"/>
        <v>16083.45</v>
      </c>
      <c r="AK44" s="51"/>
      <c r="AL44" s="52">
        <v>15615</v>
      </c>
    </row>
    <row r="45" spans="1:38" hidden="1" x14ac:dyDescent="0.25">
      <c r="A45" s="53">
        <v>130229</v>
      </c>
      <c r="B45" s="54" t="s">
        <v>386</v>
      </c>
      <c r="C45" s="54" t="s">
        <v>282</v>
      </c>
      <c r="D45" s="55" t="s">
        <v>61</v>
      </c>
      <c r="E45" s="56" t="s">
        <v>237</v>
      </c>
      <c r="F45" s="56" t="s">
        <v>360</v>
      </c>
      <c r="G45" s="64">
        <f t="shared" si="10"/>
        <v>18540</v>
      </c>
      <c r="H45" s="64">
        <v>18900</v>
      </c>
      <c r="I45" s="57">
        <v>25175</v>
      </c>
      <c r="J45" s="57">
        <v>23844</v>
      </c>
      <c r="K45" s="58">
        <v>22653</v>
      </c>
      <c r="L45" s="57">
        <v>18831</v>
      </c>
      <c r="M45" s="58">
        <v>21954</v>
      </c>
      <c r="N45" s="58">
        <v>18012</v>
      </c>
      <c r="O45" s="57">
        <v>6156</v>
      </c>
      <c r="P45" s="58">
        <v>1226</v>
      </c>
      <c r="Q45" s="58">
        <v>1237</v>
      </c>
      <c r="R45" s="57">
        <v>10075</v>
      </c>
      <c r="S45" s="58">
        <v>1522</v>
      </c>
      <c r="T45" s="58">
        <v>391</v>
      </c>
      <c r="U45" s="59">
        <f t="shared" si="6"/>
        <v>26182.5</v>
      </c>
      <c r="V45" s="59">
        <f t="shared" si="7"/>
        <v>19446.599999999999</v>
      </c>
      <c r="W45" s="59">
        <f>SUM(U45*'Factors &amp; Percentages'!$E$6+V45*'Factors &amp; Percentages'!$E$7)</f>
        <v>3852.7641554911138</v>
      </c>
      <c r="X45" s="60">
        <v>0.2</v>
      </c>
      <c r="Y45" s="59">
        <f>X45*'Factors &amp; Percentages'!$E$10</f>
        <v>2832.1938572619219</v>
      </c>
      <c r="Z45" s="61">
        <v>2.2122670206293899E-2</v>
      </c>
      <c r="AA45" s="59">
        <f>+'Factors &amp; Percentages'!E$13*Z45</f>
        <v>3687.277280989781</v>
      </c>
      <c r="AB45" s="62">
        <v>21</v>
      </c>
      <c r="AC45" s="85">
        <v>26</v>
      </c>
      <c r="AD45" s="63">
        <v>6488</v>
      </c>
      <c r="AE45" s="59">
        <f>AB45*'Factors &amp; Percentages'!$E$16+AC45*'Factors &amp; Percentages'!$E$17+AD45*'Factors &amp; Percentages'!$E$18</f>
        <v>4905.5072719807913</v>
      </c>
      <c r="AF45" s="59">
        <f t="shared" si="8"/>
        <v>15277.742565723609</v>
      </c>
      <c r="AG45" s="65">
        <f t="shared" si="9"/>
        <v>15277.742565723609</v>
      </c>
      <c r="AH45" s="64">
        <f>IF($AL45&gt;$AF45,$AL45*(1+'Factors &amp; Percentages'!$B$3),
IF($AF45&gt;$AG45,$AG45,
IF($AF45&gt;$BOJ45,$AF45,
$AL45*(1+'Factors &amp; Percentages'!$B$3))))</f>
        <v>18540</v>
      </c>
      <c r="AI45" s="64">
        <f>IF(+MIN(AH45,+X45*2*AK$1)-(AL45*(1+'Factors &amp; Percentages'!B$3))&gt;0,0,+MIN(AH45,+X45*2*AK$1)-(AL45*(1+'Factors &amp; Percentages'!B$3)))</f>
        <v>0</v>
      </c>
      <c r="AJ45" s="64">
        <f t="shared" si="5"/>
        <v>18540</v>
      </c>
      <c r="AK45" s="65"/>
      <c r="AL45" s="66">
        <v>18000</v>
      </c>
    </row>
    <row r="46" spans="1:38" hidden="1" x14ac:dyDescent="0.25">
      <c r="A46" s="39">
        <v>130233</v>
      </c>
      <c r="B46" s="40" t="s">
        <v>387</v>
      </c>
      <c r="C46" s="40" t="s">
        <v>283</v>
      </c>
      <c r="D46" s="41" t="s">
        <v>62</v>
      </c>
      <c r="E46" s="42" t="s">
        <v>237</v>
      </c>
      <c r="F46" s="42" t="s">
        <v>360</v>
      </c>
      <c r="G46" s="26">
        <f t="shared" si="10"/>
        <v>14595.085518526972</v>
      </c>
      <c r="H46" s="26">
        <v>10139.509825163121</v>
      </c>
      <c r="I46" s="43">
        <v>39939</v>
      </c>
      <c r="J46" s="43">
        <v>38044</v>
      </c>
      <c r="K46" s="44">
        <v>41541</v>
      </c>
      <c r="L46" s="43">
        <v>9064</v>
      </c>
      <c r="M46" s="44">
        <v>2415</v>
      </c>
      <c r="N46" s="44">
        <v>13598</v>
      </c>
      <c r="O46" s="43">
        <v>714</v>
      </c>
      <c r="P46" s="44">
        <v>1224</v>
      </c>
      <c r="Q46" s="44">
        <v>797</v>
      </c>
      <c r="R46" s="43">
        <v>837</v>
      </c>
      <c r="S46" s="44">
        <v>2703</v>
      </c>
      <c r="T46" s="44">
        <v>1365</v>
      </c>
      <c r="U46" s="45">
        <f t="shared" si="6"/>
        <v>40022.699999999997</v>
      </c>
      <c r="V46" s="45">
        <f t="shared" si="7"/>
        <v>9135.4</v>
      </c>
      <c r="W46" s="45">
        <f>SUM(U46*'Factors &amp; Percentages'!$E$6+V46*'Factors &amp; Percentages'!$E$7)</f>
        <v>4444.7367539546858</v>
      </c>
      <c r="X46" s="46">
        <v>0.1</v>
      </c>
      <c r="Y46" s="45">
        <f>X46*'Factors &amp; Percentages'!$E$10</f>
        <v>1416.096928630961</v>
      </c>
      <c r="Z46" s="47">
        <v>2.5690034321885852E-2</v>
      </c>
      <c r="AA46" s="45">
        <f>+'Factors &amp; Percentages'!E$13*Z46</f>
        <v>4281.8646673125286</v>
      </c>
      <c r="AB46" s="48">
        <v>23</v>
      </c>
      <c r="AC46" s="49">
        <v>27</v>
      </c>
      <c r="AD46" s="50">
        <v>3090</v>
      </c>
      <c r="AE46" s="45">
        <f>AB46*'Factors &amp; Percentages'!$E$16+AC46*'Factors &amp; Percentages'!$E$17+AD46*'Factors &amp; Percentages'!$E$18</f>
        <v>4452.3871686287957</v>
      </c>
      <c r="AF46" s="45">
        <f t="shared" si="8"/>
        <v>14595.085518526972</v>
      </c>
      <c r="AG46" s="51">
        <f t="shared" si="9"/>
        <v>14595.085518526972</v>
      </c>
      <c r="AH46" s="26">
        <f>IF($AL46&gt;$AF46,$AL46*(1+'Factors &amp; Percentages'!$B$3),
IF($AF46&gt;$AG46,$AG46,
IF($AF46&gt;$BOJ46,$AF46,
$AL46*(1+'Factors &amp; Percentages'!$B$3))))</f>
        <v>14595.085518526972</v>
      </c>
      <c r="AI46" s="26">
        <f>IF(+MIN(AH46,+X46*2*AK$1)-(AL46*(1+'Factors &amp; Percentages'!B$3))&gt;0,0,+MIN(AH46,+X46*2*AK$1)-(AL46*(1+'Factors &amp; Percentages'!B$3)))</f>
        <v>0</v>
      </c>
      <c r="AJ46" s="26">
        <f t="shared" si="5"/>
        <v>14595.085518526972</v>
      </c>
      <c r="AK46" s="51"/>
      <c r="AL46" s="52">
        <v>9000</v>
      </c>
    </row>
    <row r="47" spans="1:38" hidden="1" x14ac:dyDescent="0.25">
      <c r="A47" s="53">
        <v>130236</v>
      </c>
      <c r="B47" s="54" t="s">
        <v>388</v>
      </c>
      <c r="C47" s="54" t="s">
        <v>284</v>
      </c>
      <c r="D47" s="55" t="s">
        <v>63</v>
      </c>
      <c r="E47" s="56" t="s">
        <v>237</v>
      </c>
      <c r="F47" s="56" t="s">
        <v>360</v>
      </c>
      <c r="G47" s="64">
        <f t="shared" si="10"/>
        <v>22492.600000000002</v>
      </c>
      <c r="H47" s="64">
        <v>24834.668608274416</v>
      </c>
      <c r="I47" s="57">
        <v>34604</v>
      </c>
      <c r="J47" s="57">
        <v>43890</v>
      </c>
      <c r="K47" s="58">
        <v>31609</v>
      </c>
      <c r="L47" s="57">
        <v>18372</v>
      </c>
      <c r="M47" s="58">
        <v>37811</v>
      </c>
      <c r="N47" s="58">
        <v>19433</v>
      </c>
      <c r="O47" s="57">
        <v>29901</v>
      </c>
      <c r="P47" s="58">
        <v>18233</v>
      </c>
      <c r="Q47" s="58">
        <v>7376</v>
      </c>
      <c r="R47" s="57">
        <v>43283</v>
      </c>
      <c r="S47" s="58">
        <v>0</v>
      </c>
      <c r="T47" s="58">
        <v>1200</v>
      </c>
      <c r="U47" s="59">
        <f t="shared" si="6"/>
        <v>38932.300000000003</v>
      </c>
      <c r="V47" s="59">
        <f t="shared" si="7"/>
        <v>21362.1</v>
      </c>
      <c r="W47" s="59">
        <f>SUM(U47*'Factors &amp; Percentages'!$E$6+V47*'Factors &amp; Percentages'!$E$7)</f>
        <v>5198.9107500753853</v>
      </c>
      <c r="X47" s="60">
        <v>0.5</v>
      </c>
      <c r="Y47" s="59">
        <f>X47*'Factors &amp; Percentages'!$E$10</f>
        <v>7080.4846431548049</v>
      </c>
      <c r="Z47" s="61">
        <v>3.6117642384775689E-2</v>
      </c>
      <c r="AA47" s="59">
        <f>+'Factors &amp; Percentages'!E$13*Z47</f>
        <v>6019.8773912205443</v>
      </c>
      <c r="AB47" s="62">
        <v>33</v>
      </c>
      <c r="AC47" s="85">
        <v>59</v>
      </c>
      <c r="AD47" s="63">
        <v>12421</v>
      </c>
      <c r="AE47" s="59">
        <f>AB47*'Factors &amp; Percentages'!$E$16+AC47*'Factors &amp; Percentages'!$E$17+AD47*'Factors &amp; Percentages'!$E$18</f>
        <v>8657.8300422733173</v>
      </c>
      <c r="AF47" s="59">
        <f t="shared" si="8"/>
        <v>26957.102826724054</v>
      </c>
      <c r="AG47" s="65">
        <f t="shared" si="9"/>
        <v>22492.600000000002</v>
      </c>
      <c r="AH47" s="64">
        <f>IF($AL47&gt;$AF47,$AL47*(1+'Factors &amp; Percentages'!$B$3),
IF($AF47&gt;$AG47,$AG47,
IF($AF47&gt;$BOJ47,$AF47,
$AL47*(1+'Factors &amp; Percentages'!$B$3))))</f>
        <v>22492.600000000002</v>
      </c>
      <c r="AI47" s="64">
        <f>IF(+MIN(AH47,+X47*2*AK$1)-(AL47*(1+'Factors &amp; Percentages'!B$3))&gt;0,0,+MIN(AH47,+X47*2*AK$1)-(AL47*(1+'Factors &amp; Percentages'!B$3)))</f>
        <v>0</v>
      </c>
      <c r="AJ47" s="64">
        <f t="shared" si="5"/>
        <v>22492.600000000002</v>
      </c>
      <c r="AK47" s="65"/>
      <c r="AL47" s="66">
        <v>20051</v>
      </c>
    </row>
    <row r="48" spans="1:38" hidden="1" x14ac:dyDescent="0.25">
      <c r="A48" s="39">
        <v>130238</v>
      </c>
      <c r="B48" s="40" t="s">
        <v>389</v>
      </c>
      <c r="C48" s="40" t="s">
        <v>285</v>
      </c>
      <c r="D48" s="41" t="s">
        <v>64</v>
      </c>
      <c r="E48" s="42" t="s">
        <v>237</v>
      </c>
      <c r="F48" s="42" t="s">
        <v>360</v>
      </c>
      <c r="G48" s="26">
        <f t="shared" si="10"/>
        <v>18016.05</v>
      </c>
      <c r="H48" s="26">
        <v>19028.378960678376</v>
      </c>
      <c r="I48" s="43">
        <v>27717</v>
      </c>
      <c r="J48" s="43">
        <v>31702</v>
      </c>
      <c r="K48" s="44">
        <v>36070</v>
      </c>
      <c r="L48" s="43">
        <v>14237</v>
      </c>
      <c r="M48" s="44">
        <v>18276</v>
      </c>
      <c r="N48" s="44">
        <v>15754</v>
      </c>
      <c r="O48" s="43">
        <v>6173</v>
      </c>
      <c r="P48" s="44">
        <v>13884</v>
      </c>
      <c r="Q48" s="44">
        <v>3043</v>
      </c>
      <c r="R48" s="43">
        <v>6273</v>
      </c>
      <c r="S48" s="44">
        <v>9030</v>
      </c>
      <c r="T48" s="44">
        <v>3748</v>
      </c>
      <c r="U48" s="45">
        <f t="shared" si="6"/>
        <v>28344.3</v>
      </c>
      <c r="V48" s="45">
        <f t="shared" si="7"/>
        <v>14854.3</v>
      </c>
      <c r="W48" s="45">
        <f>SUM(U48*'Factors &amp; Percentages'!$E$6+V48*'Factors &amp; Percentages'!$E$7)</f>
        <v>3736.0355766206221</v>
      </c>
      <c r="X48" s="46">
        <v>0.5</v>
      </c>
      <c r="Y48" s="45">
        <f>X48*'Factors &amp; Percentages'!$E$10</f>
        <v>7080.4846431548049</v>
      </c>
      <c r="Z48" s="47">
        <v>2.7535920608433701E-2</v>
      </c>
      <c r="AA48" s="45">
        <f>+'Factors &amp; Percentages'!E$13*Z48</f>
        <v>4589.5261975080148</v>
      </c>
      <c r="AB48" s="48">
        <v>25</v>
      </c>
      <c r="AC48" s="49">
        <v>39</v>
      </c>
      <c r="AD48" s="50">
        <v>7600</v>
      </c>
      <c r="AE48" s="45">
        <f>AB48*'Factors &amp; Percentages'!$E$16+AC48*'Factors &amp; Percentages'!$E$17+AD48*'Factors &amp; Percentages'!$E$18</f>
        <v>6016.6616630177941</v>
      </c>
      <c r="AF48" s="45">
        <f t="shared" si="8"/>
        <v>21422.708080301236</v>
      </c>
      <c r="AG48" s="51">
        <f t="shared" si="9"/>
        <v>18016.05</v>
      </c>
      <c r="AH48" s="26">
        <f>IF($AL48&gt;$AF48,$AL48*(1+'Factors &amp; Percentages'!$B$3),
IF($AF48&gt;$AG48,$AG48,
IF($AF48&gt;$BOJ48,$AF48,
$AL48*(1+'Factors &amp; Percentages'!$B$3))))</f>
        <v>18016.05</v>
      </c>
      <c r="AI48" s="26">
        <f>IF(+MIN(AH48,+X48*2*AK$1)-(AL48*(1+'Factors &amp; Percentages'!B$3))&gt;0,0,+MIN(AH48,+X48*2*AK$1)-(AL48*(1+'Factors &amp; Percentages'!B$3)))</f>
        <v>0</v>
      </c>
      <c r="AJ48" s="26">
        <f t="shared" si="5"/>
        <v>18016.05</v>
      </c>
      <c r="AK48" s="51"/>
      <c r="AL48" s="52">
        <v>14100</v>
      </c>
    </row>
    <row r="49" spans="1:38" hidden="1" x14ac:dyDescent="0.25">
      <c r="A49" s="53">
        <v>130240</v>
      </c>
      <c r="B49" s="54" t="s">
        <v>286</v>
      </c>
      <c r="C49" s="54" t="s">
        <v>286</v>
      </c>
      <c r="D49" s="55" t="s">
        <v>65</v>
      </c>
      <c r="E49" s="56" t="s">
        <v>237</v>
      </c>
      <c r="F49" s="56" t="s">
        <v>360</v>
      </c>
      <c r="G49" s="64">
        <f t="shared" si="10"/>
        <v>3976.0567189786052</v>
      </c>
      <c r="H49" s="64">
        <v>4285.45</v>
      </c>
      <c r="I49" s="57">
        <v>7594</v>
      </c>
      <c r="J49" s="57">
        <v>5858</v>
      </c>
      <c r="K49" s="58">
        <v>4773</v>
      </c>
      <c r="L49" s="57">
        <v>7889</v>
      </c>
      <c r="M49" s="58">
        <v>5347</v>
      </c>
      <c r="N49" s="58">
        <v>5347</v>
      </c>
      <c r="O49" s="57">
        <v>201</v>
      </c>
      <c r="P49" s="58">
        <v>0</v>
      </c>
      <c r="Q49" s="58">
        <v>0</v>
      </c>
      <c r="R49" s="57">
        <v>100</v>
      </c>
      <c r="S49" s="58">
        <v>0</v>
      </c>
      <c r="T49" s="58">
        <v>0</v>
      </c>
      <c r="U49" s="59">
        <f t="shared" si="6"/>
        <v>7604</v>
      </c>
      <c r="V49" s="59">
        <f t="shared" si="7"/>
        <v>7909.1</v>
      </c>
      <c r="W49" s="59">
        <f>SUM(U49*'Factors &amp; Percentages'!$E$6+V49*'Factors &amp; Percentages'!$E$7)</f>
        <v>1277.5849617094505</v>
      </c>
      <c r="X49" s="60">
        <v>0.1</v>
      </c>
      <c r="Y49" s="59">
        <f>X49*'Factors &amp; Percentages'!$E$10</f>
        <v>1416.096928630961</v>
      </c>
      <c r="Z49" s="61">
        <v>4.6557102285953722E-2</v>
      </c>
      <c r="AA49" s="59">
        <f>+'Factors &amp; Percentages'!E$13*Z49</f>
        <v>7759.8655102165176</v>
      </c>
      <c r="AB49" s="62">
        <v>5</v>
      </c>
      <c r="AC49" s="85">
        <v>9</v>
      </c>
      <c r="AD49" s="63">
        <v>32</v>
      </c>
      <c r="AE49" s="59">
        <f>AB49*'Factors &amp; Percentages'!$E$16+AC49*'Factors &amp; Percentages'!$E$17+AD49*'Factors &amp; Percentages'!$E$18</f>
        <v>906.61465366765947</v>
      </c>
      <c r="AF49" s="59">
        <f t="shared" si="8"/>
        <v>11360.162054224587</v>
      </c>
      <c r="AG49" s="65">
        <f t="shared" si="9"/>
        <v>11360.162054224587</v>
      </c>
      <c r="AH49" s="64">
        <f>IF($AL49&gt;$AF49,$AL49*(1+'Factors &amp; Percentages'!$B$3),
IF($AF49&gt;$AG49,$AG49,
IF($AF49&gt;$BOJ49,$AF49,
$AL49*(1+'Factors &amp; Percentages'!$B$3))))</f>
        <v>11360.162054224587</v>
      </c>
      <c r="AI49" s="64">
        <f>IF(+MIN(AH49,+X49*2*AK$1)-(AL49*(1+'Factors &amp; Percentages'!B$3))&gt;0,0,+MIN(AH49,+X49*2*AK$1)-(AL49*(1+'Factors &amp; Percentages'!B$3)))</f>
        <v>0</v>
      </c>
      <c r="AJ49" s="64">
        <f>MIN(AH49-AI49,+X49*2*AK$1)*0.35</f>
        <v>3976.0567189786052</v>
      </c>
      <c r="AK49" s="65"/>
      <c r="AL49" s="66">
        <v>1000</v>
      </c>
    </row>
    <row r="50" spans="1:38" x14ac:dyDescent="0.25">
      <c r="A50" s="39">
        <v>130080</v>
      </c>
      <c r="B50" s="40" t="s">
        <v>390</v>
      </c>
      <c r="C50" s="40" t="s">
        <v>287</v>
      </c>
      <c r="D50" s="41" t="s">
        <v>119</v>
      </c>
      <c r="E50" s="42" t="s">
        <v>357</v>
      </c>
      <c r="F50" s="42" t="s">
        <v>361</v>
      </c>
      <c r="G50" s="26">
        <f t="shared" si="10"/>
        <v>37661.688507583938</v>
      </c>
      <c r="H50" s="26">
        <v>34885.200000000004</v>
      </c>
      <c r="I50" s="43">
        <v>70598</v>
      </c>
      <c r="J50" s="43">
        <v>70304</v>
      </c>
      <c r="K50" s="44">
        <v>57047</v>
      </c>
      <c r="L50" s="43">
        <v>45334</v>
      </c>
      <c r="M50" s="44">
        <v>28958</v>
      </c>
      <c r="N50" s="44">
        <v>34877</v>
      </c>
      <c r="O50" s="43">
        <v>0</v>
      </c>
      <c r="P50" s="44">
        <v>0</v>
      </c>
      <c r="Q50" s="44">
        <v>0</v>
      </c>
      <c r="R50" s="43">
        <v>0</v>
      </c>
      <c r="S50" s="44">
        <v>0</v>
      </c>
      <c r="T50" s="44">
        <v>0</v>
      </c>
      <c r="U50" s="45">
        <f t="shared" si="6"/>
        <v>70598</v>
      </c>
      <c r="V50" s="45">
        <f t="shared" si="7"/>
        <v>45334</v>
      </c>
      <c r="W50" s="45">
        <f>SUM(U50*'Factors &amp; Percentages'!$E$6+V50*'Factors &amp; Percentages'!$E$7)</f>
        <v>9890.2938428154121</v>
      </c>
      <c r="X50" s="46">
        <v>1</v>
      </c>
      <c r="Y50" s="45">
        <f>X50*'Factors &amp; Percentages'!$E$10</f>
        <v>14160.96928630961</v>
      </c>
      <c r="Z50" s="47">
        <v>4.1613089813531748E-2</v>
      </c>
      <c r="AA50" s="45">
        <f>+'Factors &amp; Percentages'!E$13*Z50</f>
        <v>6935.8264273889281</v>
      </c>
      <c r="AB50" s="48">
        <v>25</v>
      </c>
      <c r="AC50" s="49">
        <v>48</v>
      </c>
      <c r="AD50" s="50">
        <v>9555</v>
      </c>
      <c r="AE50" s="45">
        <f>AB50*'Factors &amp; Percentages'!$E$16+AC50*'Factors &amp; Percentages'!$E$17+AD50*'Factors &amp; Percentages'!$E$18</f>
        <v>6674.5989510699892</v>
      </c>
      <c r="AF50" s="45">
        <f t="shared" si="8"/>
        <v>37661.688507583938</v>
      </c>
      <c r="AG50" s="51">
        <f t="shared" si="9"/>
        <v>37661.688507583938</v>
      </c>
      <c r="AH50" s="26">
        <f>IF($AL50&gt;$AF50,$AL50*(1+'Factors &amp; Percentages'!$B$3),
IF($AF50&gt;$AG50,$AG50,
IF($AF50&gt;$BOJ50,$AF50,
$AL50*(1+'Factors &amp; Percentages'!$B$3))))</f>
        <v>37661.688507583938</v>
      </c>
      <c r="AI50" s="26">
        <f>IF(+MIN(AH50,+X50*2*AK$1)-(AL50*(1+'Factors &amp; Percentages'!B$3))&gt;0,0,+MIN(AH50,+X50*2*AK$1)-(AL50*(1+'Factors &amp; Percentages'!B$3)))</f>
        <v>0</v>
      </c>
      <c r="AJ50" s="26">
        <f t="shared" ref="AJ50:AJ59" si="11">MIN(AH50-AI50,+X50*2*AK$1)</f>
        <v>37661.688507583938</v>
      </c>
      <c r="AK50" s="51"/>
      <c r="AL50" s="52">
        <v>34885</v>
      </c>
    </row>
    <row r="51" spans="1:38" hidden="1" x14ac:dyDescent="0.25">
      <c r="A51" s="53">
        <v>130020</v>
      </c>
      <c r="B51" s="54" t="s">
        <v>391</v>
      </c>
      <c r="C51" s="54" t="s">
        <v>288</v>
      </c>
      <c r="D51" s="55" t="s">
        <v>79</v>
      </c>
      <c r="E51" s="56" t="s">
        <v>356</v>
      </c>
      <c r="F51" s="56" t="s">
        <v>356</v>
      </c>
      <c r="G51" s="64">
        <f t="shared" si="10"/>
        <v>50525.462063614148</v>
      </c>
      <c r="H51" s="64">
        <v>43997.85</v>
      </c>
      <c r="I51" s="57">
        <v>73173</v>
      </c>
      <c r="J51" s="57">
        <v>67689</v>
      </c>
      <c r="K51" s="58">
        <v>71219</v>
      </c>
      <c r="L51" s="57">
        <v>100087</v>
      </c>
      <c r="M51" s="58">
        <v>67686</v>
      </c>
      <c r="N51" s="58">
        <v>66370</v>
      </c>
      <c r="O51" s="57">
        <v>27203</v>
      </c>
      <c r="P51" s="58">
        <v>20122</v>
      </c>
      <c r="Q51" s="58">
        <v>13213</v>
      </c>
      <c r="R51" s="57">
        <v>49046</v>
      </c>
      <c r="S51" s="58">
        <v>17517</v>
      </c>
      <c r="T51" s="58">
        <v>7614</v>
      </c>
      <c r="U51" s="59">
        <f t="shared" si="6"/>
        <v>78077.600000000006</v>
      </c>
      <c r="V51" s="59">
        <f t="shared" si="7"/>
        <v>102807.3</v>
      </c>
      <c r="W51" s="59">
        <f>SUM(U51*'Factors &amp; Percentages'!$E$6+V51*'Factors &amp; Percentages'!$E$7)</f>
        <v>14633.406123436456</v>
      </c>
      <c r="X51" s="60">
        <v>0.5</v>
      </c>
      <c r="Y51" s="59">
        <f>X51*'Factors &amp; Percentages'!$E$10</f>
        <v>7080.4846431548049</v>
      </c>
      <c r="Z51" s="61">
        <v>9.9556971476927672E-2</v>
      </c>
      <c r="AA51" s="59">
        <f>+'Factors &amp; Percentages'!E$13*Z51</f>
        <v>16593.57372631197</v>
      </c>
      <c r="AB51" s="62">
        <v>55</v>
      </c>
      <c r="AC51" s="85">
        <v>128</v>
      </c>
      <c r="AD51" s="63">
        <v>7221</v>
      </c>
      <c r="AE51" s="59">
        <f>AB51*'Factors &amp; Percentages'!$E$16+AC51*'Factors &amp; Percentages'!$E$17+AD51*'Factors &amp; Percentages'!$E$18</f>
        <v>12217.997570710908</v>
      </c>
      <c r="AF51" s="59">
        <f t="shared" si="8"/>
        <v>50525.462063614148</v>
      </c>
      <c r="AG51" s="65">
        <f t="shared" si="9"/>
        <v>50525.462063614148</v>
      </c>
      <c r="AH51" s="64">
        <f>IF($AL51&gt;$AF51,$AL51*(1+'Factors &amp; Percentages'!$B$3),
IF($AF51&gt;$AG51,$AG51,
IF($AF51&gt;$BOJ51,$AF51,
$AL51*(1+'Factors &amp; Percentages'!$B$3))))</f>
        <v>50525.462063614148</v>
      </c>
      <c r="AI51" s="64">
        <f>IF(+MIN(AH51,+X51*2*AK$1)-(AL51*(1+'Factors &amp; Percentages'!B$3))&gt;0,0,+MIN(AH51,+X51*2*AK$1)-(AL51*(1+'Factors &amp; Percentages'!B$3)))</f>
        <v>0</v>
      </c>
      <c r="AJ51" s="64">
        <f t="shared" si="11"/>
        <v>50525.462063614148</v>
      </c>
      <c r="AK51" s="65"/>
      <c r="AL51" s="66">
        <v>34650</v>
      </c>
    </row>
    <row r="52" spans="1:38" hidden="1" x14ac:dyDescent="0.25">
      <c r="A52" s="39">
        <v>130022</v>
      </c>
      <c r="B52" s="40" t="s">
        <v>392</v>
      </c>
      <c r="C52" s="40" t="s">
        <v>289</v>
      </c>
      <c r="D52" s="41" t="s">
        <v>80</v>
      </c>
      <c r="E52" s="42" t="s">
        <v>356</v>
      </c>
      <c r="F52" s="42" t="s">
        <v>356</v>
      </c>
      <c r="G52" s="26">
        <f t="shared" si="10"/>
        <v>33180.42</v>
      </c>
      <c r="H52" s="26">
        <v>32214</v>
      </c>
      <c r="I52" s="43">
        <v>89982</v>
      </c>
      <c r="J52" s="43">
        <v>92238</v>
      </c>
      <c r="K52" s="44">
        <v>51603</v>
      </c>
      <c r="L52" s="43">
        <v>20643</v>
      </c>
      <c r="M52" s="44">
        <v>24875</v>
      </c>
      <c r="N52" s="44">
        <v>19897</v>
      </c>
      <c r="O52" s="43">
        <v>-9450</v>
      </c>
      <c r="P52" s="44">
        <v>-9643</v>
      </c>
      <c r="Q52" s="44">
        <v>1618</v>
      </c>
      <c r="R52" s="43">
        <v>184</v>
      </c>
      <c r="S52" s="44">
        <v>1000</v>
      </c>
      <c r="T52" s="44">
        <v>0</v>
      </c>
      <c r="U52" s="45">
        <f t="shared" si="6"/>
        <v>90000.4</v>
      </c>
      <c r="V52" s="45">
        <f t="shared" si="7"/>
        <v>19698</v>
      </c>
      <c r="W52" s="45">
        <f>SUM(U52*'Factors &amp; Percentages'!$E$6+V52*'Factors &amp; Percentages'!$E$7)</f>
        <v>9935.7401886600692</v>
      </c>
      <c r="X52" s="46">
        <v>0.5</v>
      </c>
      <c r="Y52" s="45">
        <f>X52*'Factors &amp; Percentages'!$E$10</f>
        <v>7080.4846431548049</v>
      </c>
      <c r="Z52" s="47">
        <v>3.1468014336827332E-2</v>
      </c>
      <c r="AA52" s="45">
        <f>+'Factors &amp; Percentages'!E$13*Z52</f>
        <v>5244.9045824962504</v>
      </c>
      <c r="AB52" s="48">
        <v>30</v>
      </c>
      <c r="AC52" s="49">
        <v>45</v>
      </c>
      <c r="AD52" s="50">
        <v>6594</v>
      </c>
      <c r="AE52" s="45">
        <f>AB52*'Factors &amp; Percentages'!$E$16+AC52*'Factors &amp; Percentages'!$E$17+AD52*'Factors &amp; Percentages'!$E$18</f>
        <v>6619.0288831155622</v>
      </c>
      <c r="AF52" s="45">
        <f t="shared" si="8"/>
        <v>28880.158297426686</v>
      </c>
      <c r="AG52" s="51">
        <f t="shared" si="9"/>
        <v>28880.158297426686</v>
      </c>
      <c r="AH52" s="26">
        <f>IF($AL52&gt;$AF52,$AL52*(1+'Factors &amp; Percentages'!$B$3),
IF($AF52&gt;$AG52,$AG52,
IF($AF52&gt;$BOJ52,$AF52,
$AL52*(1+'Factors &amp; Percentages'!$B$3))))</f>
        <v>33180.42</v>
      </c>
      <c r="AI52" s="26">
        <f>IF(+MIN(AH52,+X52*2*AK$1)-(AL52*(1+'Factors &amp; Percentages'!B$3))&gt;0,0,+MIN(AH52,+X52*2*AK$1)-(AL52*(1+'Factors &amp; Percentages'!B$3)))</f>
        <v>0</v>
      </c>
      <c r="AJ52" s="26">
        <f t="shared" si="11"/>
        <v>33180.42</v>
      </c>
      <c r="AK52" s="51"/>
      <c r="AL52" s="52">
        <v>32214</v>
      </c>
    </row>
    <row r="53" spans="1:38" hidden="1" x14ac:dyDescent="0.25">
      <c r="A53" s="53">
        <v>130023</v>
      </c>
      <c r="B53" s="54" t="s">
        <v>393</v>
      </c>
      <c r="C53" s="54" t="s">
        <v>290</v>
      </c>
      <c r="D53" s="55" t="s">
        <v>81</v>
      </c>
      <c r="E53" s="56" t="s">
        <v>356</v>
      </c>
      <c r="F53" s="56" t="s">
        <v>356</v>
      </c>
      <c r="G53" s="64">
        <f t="shared" si="10"/>
        <v>50986.021423752114</v>
      </c>
      <c r="H53" s="64">
        <v>55614.89801196909</v>
      </c>
      <c r="I53" s="57">
        <v>60124</v>
      </c>
      <c r="J53" s="57">
        <v>55086</v>
      </c>
      <c r="K53" s="58">
        <v>55811</v>
      </c>
      <c r="L53" s="57">
        <v>233594</v>
      </c>
      <c r="M53" s="58">
        <v>249886</v>
      </c>
      <c r="N53" s="58">
        <v>253157</v>
      </c>
      <c r="O53" s="57">
        <v>304253</v>
      </c>
      <c r="P53" s="58">
        <v>172168</v>
      </c>
      <c r="Q53" s="58">
        <v>197240</v>
      </c>
      <c r="R53" s="57">
        <v>14125</v>
      </c>
      <c r="S53" s="58">
        <v>12630</v>
      </c>
      <c r="T53" s="58">
        <v>10799</v>
      </c>
      <c r="U53" s="59">
        <f t="shared" si="6"/>
        <v>61536.5</v>
      </c>
      <c r="V53" s="59">
        <f t="shared" si="7"/>
        <v>264019.3</v>
      </c>
      <c r="W53" s="59">
        <f>SUM(U53*'Factors &amp; Percentages'!$E$6+V53*'Factors &amp; Percentages'!$E$7)</f>
        <v>24371.711798121443</v>
      </c>
      <c r="X53" s="60">
        <v>0.4</v>
      </c>
      <c r="Y53" s="59">
        <f>X53*'Factors &amp; Percentages'!$E$10</f>
        <v>5664.3877145238439</v>
      </c>
      <c r="Z53" s="61">
        <v>9.3289673766010842E-2</v>
      </c>
      <c r="AA53" s="59">
        <f>+'Factors &amp; Percentages'!E$13*Z53</f>
        <v>15548.97719943845</v>
      </c>
      <c r="AB53" s="62">
        <v>24</v>
      </c>
      <c r="AC53" s="85">
        <v>43</v>
      </c>
      <c r="AD53" s="63">
        <v>4949</v>
      </c>
      <c r="AE53" s="59">
        <f>AB53*'Factors &amp; Percentages'!$E$16+AC53*'Factors &amp; Percentages'!$E$17+AD53*'Factors &amp; Percentages'!$E$18</f>
        <v>5400.9447116683759</v>
      </c>
      <c r="AF53" s="59">
        <f t="shared" si="8"/>
        <v>50986.021423752114</v>
      </c>
      <c r="AG53" s="65">
        <f t="shared" si="9"/>
        <v>50986.021423752114</v>
      </c>
      <c r="AH53" s="64">
        <f>IF($AL53&gt;$AF53,$AL53*(1+'Factors &amp; Percentages'!$B$3),
IF($AF53&gt;$AG53,$AG53,
IF($AF53&gt;$BOJ53,$AF53,
$AL53*(1+'Factors &amp; Percentages'!$B$3))))</f>
        <v>50986.021423752114</v>
      </c>
      <c r="AI53" s="64">
        <f>IF(+MIN(AH53,+X53*2*AK$1)-(AL53*(1+'Factors &amp; Percentages'!B$3))&gt;0,0,+MIN(AH53,+X53*2*AK$1)-(AL53*(1+'Factors &amp; Percentages'!B$3)))</f>
        <v>0</v>
      </c>
      <c r="AJ53" s="64">
        <f t="shared" si="11"/>
        <v>50986.021423752114</v>
      </c>
      <c r="AK53" s="65"/>
      <c r="AL53" s="66">
        <v>39977</v>
      </c>
    </row>
    <row r="54" spans="1:38" hidden="1" x14ac:dyDescent="0.25">
      <c r="A54" s="39">
        <v>130025</v>
      </c>
      <c r="B54" s="40" t="s">
        <v>394</v>
      </c>
      <c r="C54" s="40" t="s">
        <v>291</v>
      </c>
      <c r="D54" s="41" t="s">
        <v>82</v>
      </c>
      <c r="E54" s="42" t="s">
        <v>356</v>
      </c>
      <c r="F54" s="42" t="s">
        <v>356</v>
      </c>
      <c r="G54" s="26">
        <f t="shared" si="10"/>
        <v>148785.87371938158</v>
      </c>
      <c r="H54" s="26">
        <v>138915</v>
      </c>
      <c r="I54" s="43">
        <v>362781</v>
      </c>
      <c r="J54" s="43">
        <v>284664</v>
      </c>
      <c r="K54" s="44">
        <v>362395</v>
      </c>
      <c r="L54" s="43">
        <v>179360</v>
      </c>
      <c r="M54" s="44">
        <v>194819</v>
      </c>
      <c r="N54" s="44">
        <v>151021</v>
      </c>
      <c r="O54" s="43">
        <v>67210</v>
      </c>
      <c r="P54" s="44">
        <v>73353</v>
      </c>
      <c r="Q54" s="44">
        <v>71674</v>
      </c>
      <c r="R54" s="43">
        <v>11041</v>
      </c>
      <c r="S54" s="44">
        <v>22329</v>
      </c>
      <c r="T54" s="44">
        <v>4338</v>
      </c>
      <c r="U54" s="45">
        <f t="shared" si="6"/>
        <v>363885.1</v>
      </c>
      <c r="V54" s="45">
        <f t="shared" si="7"/>
        <v>186081</v>
      </c>
      <c r="W54" s="45">
        <f>SUM(U54*'Factors &amp; Percentages'!$E$6+V54*'Factors &amp; Percentages'!$E$7)</f>
        <v>47639.290229393446</v>
      </c>
      <c r="X54" s="46">
        <v>2</v>
      </c>
      <c r="Y54" s="45">
        <f>X54*'Factors &amp; Percentages'!$E$10</f>
        <v>28321.938572619219</v>
      </c>
      <c r="Z54" s="47">
        <v>0.17187741702617693</v>
      </c>
      <c r="AA54" s="45">
        <f>+'Factors &amp; Percentages'!E$13*Z54</f>
        <v>28647.52260943273</v>
      </c>
      <c r="AB54" s="48">
        <v>296</v>
      </c>
      <c r="AC54" s="49">
        <v>150</v>
      </c>
      <c r="AD54" s="50">
        <v>2844</v>
      </c>
      <c r="AE54" s="45">
        <f>AB54*'Factors &amp; Percentages'!$E$16+AC54*'Factors &amp; Percentages'!$E$17+AD54*'Factors &amp; Percentages'!$E$18</f>
        <v>44177.122307936195</v>
      </c>
      <c r="AF54" s="45">
        <f t="shared" si="8"/>
        <v>148785.87371938158</v>
      </c>
      <c r="AG54" s="51">
        <f t="shared" si="9"/>
        <v>148785.87371938158</v>
      </c>
      <c r="AH54" s="26">
        <f>IF($AL54&gt;$AF54,$AL54*(1+'Factors &amp; Percentages'!$B$3),
IF($AF54&gt;$AG54,$AG54,
IF($AF54&gt;$BOJ54,$AF54,
$AL54*(1+'Factors &amp; Percentages'!$B$3))))</f>
        <v>148785.87371938158</v>
      </c>
      <c r="AI54" s="26">
        <f>IF(+MIN(AH54,+X54*2*AK$1)-(AL54*(1+'Factors &amp; Percentages'!B$3))&gt;0,0,+MIN(AH54,+X54*2*AK$1)-(AL54*(1+'Factors &amp; Percentages'!B$3)))</f>
        <v>0</v>
      </c>
      <c r="AJ54" s="26">
        <f t="shared" si="11"/>
        <v>148785.87371938158</v>
      </c>
      <c r="AK54" s="51"/>
      <c r="AL54" s="52">
        <v>90000</v>
      </c>
    </row>
    <row r="55" spans="1:38" hidden="1" x14ac:dyDescent="0.25">
      <c r="A55" s="53">
        <v>130026</v>
      </c>
      <c r="B55" s="54" t="s">
        <v>395</v>
      </c>
      <c r="C55" s="54" t="s">
        <v>292</v>
      </c>
      <c r="D55" s="55" t="s">
        <v>83</v>
      </c>
      <c r="E55" s="56" t="s">
        <v>356</v>
      </c>
      <c r="F55" s="56" t="s">
        <v>356</v>
      </c>
      <c r="G55" s="64">
        <f t="shared" si="10"/>
        <v>39733.004971609756</v>
      </c>
      <c r="H55" s="64">
        <v>42000</v>
      </c>
      <c r="I55" s="57">
        <v>88890</v>
      </c>
      <c r="J55" s="57">
        <v>82864</v>
      </c>
      <c r="K55" s="58">
        <v>75564</v>
      </c>
      <c r="L55" s="57">
        <v>22068</v>
      </c>
      <c r="M55" s="58">
        <v>1832</v>
      </c>
      <c r="N55" s="58">
        <v>22437</v>
      </c>
      <c r="O55" s="57">
        <v>4619</v>
      </c>
      <c r="P55" s="58">
        <v>9045</v>
      </c>
      <c r="Q55" s="58">
        <v>9258</v>
      </c>
      <c r="R55" s="57">
        <v>3556</v>
      </c>
      <c r="S55" s="58">
        <v>2029</v>
      </c>
      <c r="T55" s="58">
        <v>2127</v>
      </c>
      <c r="U55" s="59">
        <f t="shared" si="6"/>
        <v>89245.6</v>
      </c>
      <c r="V55" s="59">
        <f t="shared" si="7"/>
        <v>22529.9</v>
      </c>
      <c r="W55" s="59">
        <f>SUM(U55*'Factors &amp; Percentages'!$E$6+V55*'Factors &amp; Percentages'!$E$7)</f>
        <v>10062.684878423104</v>
      </c>
      <c r="X55" s="60">
        <v>0.25</v>
      </c>
      <c r="Y55" s="59">
        <f>X55*'Factors &amp; Percentages'!$E$10</f>
        <v>3540.2423215774024</v>
      </c>
      <c r="Z55" s="61">
        <v>9.7423157484534076E-2</v>
      </c>
      <c r="AA55" s="59">
        <f>+'Factors &amp; Percentages'!E$13*Z55</f>
        <v>16237.922090110633</v>
      </c>
      <c r="AB55" s="62">
        <v>49</v>
      </c>
      <c r="AC55" s="85">
        <v>53</v>
      </c>
      <c r="AD55" s="63">
        <v>8954</v>
      </c>
      <c r="AE55" s="59">
        <f>AB55*'Factors &amp; Percentages'!$E$16+AC55*'Factors &amp; Percentages'!$E$17+AD55*'Factors &amp; Percentages'!$E$18</f>
        <v>9892.1556814986161</v>
      </c>
      <c r="AF55" s="59">
        <f t="shared" si="8"/>
        <v>39733.004971609756</v>
      </c>
      <c r="AG55" s="65">
        <f t="shared" si="9"/>
        <v>39733.004971609756</v>
      </c>
      <c r="AH55" s="64">
        <f>IF($AL55&gt;$AF55,$AL55*(1+'Factors &amp; Percentages'!$B$3),
IF($AF55&gt;$AG55,$AG55,
IF($AF55&gt;$BOJ55,$AF55,
$AL55*(1+'Factors &amp; Percentages'!$B$3))))</f>
        <v>39733.004971609756</v>
      </c>
      <c r="AI55" s="64">
        <f>IF(+MIN(AH55,+X55*2*AK$1)-(AL55*(1+'Factors &amp; Percentages'!B$3))&gt;0,0,+MIN(AH55,+X55*2*AK$1)-(AL55*(1+'Factors &amp; Percentages'!B$3)))</f>
        <v>0</v>
      </c>
      <c r="AJ55" s="64">
        <f t="shared" si="11"/>
        <v>39733.004971609756</v>
      </c>
      <c r="AK55" s="65"/>
      <c r="AL55" s="66">
        <v>30000</v>
      </c>
    </row>
    <row r="56" spans="1:38" x14ac:dyDescent="0.25">
      <c r="A56" s="39">
        <v>130044</v>
      </c>
      <c r="B56" s="40" t="s">
        <v>95</v>
      </c>
      <c r="C56" s="40" t="s">
        <v>95</v>
      </c>
      <c r="D56" s="41" t="s">
        <v>95</v>
      </c>
      <c r="E56" s="42" t="s">
        <v>357</v>
      </c>
      <c r="F56" s="42" t="s">
        <v>95</v>
      </c>
      <c r="G56" s="26">
        <f t="shared" si="10"/>
        <v>24065.205860750786</v>
      </c>
      <c r="H56" s="26">
        <v>22353.087170416245</v>
      </c>
      <c r="I56" s="43">
        <v>49256</v>
      </c>
      <c r="J56" s="43">
        <v>45717</v>
      </c>
      <c r="K56" s="44">
        <v>51103</v>
      </c>
      <c r="L56" s="43">
        <v>10526</v>
      </c>
      <c r="M56" s="44">
        <v>30669</v>
      </c>
      <c r="N56" s="44">
        <v>22557</v>
      </c>
      <c r="O56" s="43">
        <v>20558</v>
      </c>
      <c r="P56" s="44">
        <v>6252</v>
      </c>
      <c r="Q56" s="44">
        <v>6072</v>
      </c>
      <c r="R56" s="43">
        <v>145</v>
      </c>
      <c r="S56" s="44">
        <v>110</v>
      </c>
      <c r="T56" s="44">
        <v>66</v>
      </c>
      <c r="U56" s="45">
        <f t="shared" si="6"/>
        <v>49270.5</v>
      </c>
      <c r="V56" s="45">
        <f t="shared" si="7"/>
        <v>12581.8</v>
      </c>
      <c r="W56" s="45">
        <f>SUM(U56*'Factors &amp; Percentages'!$E$6+V56*'Factors &amp; Percentages'!$E$7)</f>
        <v>5565.454270123656</v>
      </c>
      <c r="X56" s="46">
        <v>0.4</v>
      </c>
      <c r="Y56" s="45">
        <f>X56*'Factors &amp; Percentages'!$E$10</f>
        <v>5664.3877145238439</v>
      </c>
      <c r="Z56" s="47">
        <v>3.9150895380977359E-2</v>
      </c>
      <c r="AA56" s="45">
        <f>+'Factors &amp; Percentages'!E$13*Z56</f>
        <v>6525.4422600222597</v>
      </c>
      <c r="AB56" s="48">
        <v>28</v>
      </c>
      <c r="AC56" s="49">
        <v>64</v>
      </c>
      <c r="AD56" s="50">
        <v>4219</v>
      </c>
      <c r="AE56" s="45">
        <f>AB56*'Factors &amp; Percentages'!$E$16+AC56*'Factors &amp; Percentages'!$E$17+AD56*'Factors &amp; Percentages'!$E$18</f>
        <v>6309.9216160810265</v>
      </c>
      <c r="AF56" s="45">
        <f t="shared" si="8"/>
        <v>24065.205860750786</v>
      </c>
      <c r="AG56" s="51">
        <f t="shared" si="9"/>
        <v>24065.205860750786</v>
      </c>
      <c r="AH56" s="26">
        <f>IF($AL56&gt;$AF56,$AL56*(1+'Factors &amp; Percentages'!$B$3),
IF($AF56&gt;$AG56,$AG56,
IF($AF56&gt;$BOJ56,$AF56,
$AL56*(1+'Factors &amp; Percentages'!$B$3))))</f>
        <v>24065.205860750786</v>
      </c>
      <c r="AI56" s="26">
        <f>IF(+MIN(AH56,+X56*2*AK$1)-(AL56*(1+'Factors &amp; Percentages'!B$3))&gt;0,0,+MIN(AH56,+X56*2*AK$1)-(AL56*(1+'Factors &amp; Percentages'!B$3)))</f>
        <v>0</v>
      </c>
      <c r="AJ56" s="26">
        <f t="shared" si="11"/>
        <v>24065.205860750786</v>
      </c>
      <c r="AK56" s="51"/>
      <c r="AL56" s="52">
        <v>13000</v>
      </c>
    </row>
    <row r="57" spans="1:38" x14ac:dyDescent="0.25">
      <c r="A57" s="53">
        <v>130045</v>
      </c>
      <c r="B57" s="54" t="s">
        <v>97</v>
      </c>
      <c r="C57" s="54" t="s">
        <v>97</v>
      </c>
      <c r="D57" s="55" t="s">
        <v>97</v>
      </c>
      <c r="E57" s="56" t="s">
        <v>357</v>
      </c>
      <c r="F57" s="56" t="s">
        <v>95</v>
      </c>
      <c r="G57" s="64">
        <f t="shared" si="10"/>
        <v>14691.985909025654</v>
      </c>
      <c r="H57" s="64">
        <v>11956.991494068479</v>
      </c>
      <c r="I57" s="57">
        <v>14934</v>
      </c>
      <c r="J57" s="57">
        <v>20106</v>
      </c>
      <c r="K57" s="58">
        <v>13865</v>
      </c>
      <c r="L57" s="57">
        <v>20328</v>
      </c>
      <c r="M57" s="58">
        <v>25532</v>
      </c>
      <c r="N57" s="58">
        <v>38445</v>
      </c>
      <c r="O57" s="57">
        <v>58024</v>
      </c>
      <c r="P57" s="58">
        <v>16880</v>
      </c>
      <c r="Q57" s="58">
        <v>14436</v>
      </c>
      <c r="R57" s="57">
        <v>0</v>
      </c>
      <c r="S57" s="58">
        <v>2450</v>
      </c>
      <c r="T57" s="58">
        <v>0</v>
      </c>
      <c r="U57" s="59">
        <f t="shared" si="6"/>
        <v>14934</v>
      </c>
      <c r="V57" s="59">
        <f t="shared" si="7"/>
        <v>26130.400000000001</v>
      </c>
      <c r="W57" s="59">
        <f>SUM(U57*'Factors &amp; Percentages'!$E$6+V57*'Factors &amp; Percentages'!$E$7)</f>
        <v>3252.6171935906978</v>
      </c>
      <c r="X57" s="60">
        <v>0.4</v>
      </c>
      <c r="Y57" s="59">
        <f>X57*'Factors &amp; Percentages'!$E$10</f>
        <v>5664.3877145238439</v>
      </c>
      <c r="Z57" s="61">
        <v>1.819683884515582E-2</v>
      </c>
      <c r="AA57" s="59">
        <f>+'Factors &amp; Percentages'!E$13*Z57</f>
        <v>3032.9426707489561</v>
      </c>
      <c r="AB57" s="62">
        <v>12</v>
      </c>
      <c r="AC57" s="85">
        <v>15</v>
      </c>
      <c r="AD57" s="63">
        <v>3413</v>
      </c>
      <c r="AE57" s="59">
        <f>AB57*'Factors &amp; Percentages'!$E$16+AC57*'Factors &amp; Percentages'!$E$17+AD57*'Factors &amp; Percentages'!$E$18</f>
        <v>2742.0383301621559</v>
      </c>
      <c r="AF57" s="59">
        <f t="shared" si="8"/>
        <v>14691.985909025654</v>
      </c>
      <c r="AG57" s="65">
        <f t="shared" si="9"/>
        <v>14691.985909025654</v>
      </c>
      <c r="AH57" s="64">
        <f>IF($AL57&gt;$AF57,$AL57*(1+'Factors &amp; Percentages'!$B$3),
IF($AF57&gt;$AG57,$AG57,
IF($AF57&gt;$BOJ57,$AF57,
$AL57*(1+'Factors &amp; Percentages'!$B$3))))</f>
        <v>14691.985909025654</v>
      </c>
      <c r="AI57" s="64">
        <f>IF(+MIN(AH57,+X57*2*AK$1)-(AL57*(1+'Factors &amp; Percentages'!B$3))&gt;0,0,+MIN(AH57,+X57*2*AK$1)-(AL57*(1+'Factors &amp; Percentages'!B$3)))</f>
        <v>0</v>
      </c>
      <c r="AJ57" s="64">
        <f t="shared" si="11"/>
        <v>14691.985909025654</v>
      </c>
      <c r="AK57" s="65"/>
      <c r="AL57" s="66">
        <v>6500</v>
      </c>
    </row>
    <row r="58" spans="1:38" x14ac:dyDescent="0.25">
      <c r="A58" s="39">
        <v>130106</v>
      </c>
      <c r="B58" s="40" t="s">
        <v>396</v>
      </c>
      <c r="C58" s="40" t="s">
        <v>142</v>
      </c>
      <c r="D58" s="41" t="s">
        <v>453</v>
      </c>
      <c r="E58" s="42" t="s">
        <v>357</v>
      </c>
      <c r="F58" s="42" t="s">
        <v>362</v>
      </c>
      <c r="G58" s="26">
        <f t="shared" si="10"/>
        <v>20600</v>
      </c>
      <c r="H58" s="26">
        <v>21000</v>
      </c>
      <c r="I58" s="43">
        <v>24588</v>
      </c>
      <c r="J58" s="43">
        <v>24588</v>
      </c>
      <c r="K58" s="44">
        <v>41487</v>
      </c>
      <c r="L58" s="43">
        <v>29935</v>
      </c>
      <c r="M58" s="44">
        <v>29935</v>
      </c>
      <c r="N58" s="44">
        <v>38290</v>
      </c>
      <c r="O58" s="43">
        <v>16301</v>
      </c>
      <c r="P58" s="44">
        <v>16301</v>
      </c>
      <c r="Q58" s="44">
        <v>2582</v>
      </c>
      <c r="R58" s="43">
        <v>459</v>
      </c>
      <c r="S58" s="44">
        <v>459</v>
      </c>
      <c r="T58" s="44">
        <v>1630</v>
      </c>
      <c r="U58" s="45">
        <f t="shared" si="6"/>
        <v>24633.9</v>
      </c>
      <c r="V58" s="45">
        <f t="shared" si="7"/>
        <v>31565.1</v>
      </c>
      <c r="W58" s="45">
        <f>SUM(U58*'Factors &amp; Percentages'!$E$6+V58*'Factors &amp; Percentages'!$E$7)</f>
        <v>4555.7990626938645</v>
      </c>
      <c r="X58" s="46">
        <v>0.33333333333333331</v>
      </c>
      <c r="Y58" s="45">
        <f>X58*'Factors &amp; Percentages'!$E$10</f>
        <v>4720.3230954365363</v>
      </c>
      <c r="Z58" s="47">
        <v>0.17665971805109001</v>
      </c>
      <c r="AA58" s="45">
        <f>+'Factors &amp; Percentages'!E$13*Z58</f>
        <v>29444.608573992264</v>
      </c>
      <c r="AB58" s="48">
        <v>26</v>
      </c>
      <c r="AC58" s="49">
        <v>40</v>
      </c>
      <c r="AD58" s="50">
        <v>3584</v>
      </c>
      <c r="AE58" s="45">
        <f>AB58*'Factors &amp; Percentages'!$E$16+AC58*'Factors &amp; Percentages'!$E$17+AD58*'Factors &amp; Percentages'!$E$18</f>
        <v>5293.3854604077742</v>
      </c>
      <c r="AF58" s="45">
        <f t="shared" si="8"/>
        <v>44014.11619253044</v>
      </c>
      <c r="AG58" s="51">
        <f t="shared" si="9"/>
        <v>15982.2</v>
      </c>
      <c r="AH58" s="26">
        <f>IF($AL58&gt;$AF58,$AL58*(1+'Factors &amp; Percentages'!$B$3),
IF($AF58&gt;$AG58,$AG58,
IF($AF58&gt;$BOJ58,$AF58,
$AL58*(1+'Factors &amp; Percentages'!$B$3))))</f>
        <v>15982.2</v>
      </c>
      <c r="AI58" s="26">
        <f>IF(+MIN(AH58,+X58*2*AK$1)-(AL58*(1+'Factors &amp; Percentages'!B$3))&gt;0,0,+MIN(AH58,+X58*2*AK$1)-(AL58*(1+'Factors &amp; Percentages'!B$3)))</f>
        <v>-4617.7999999999993</v>
      </c>
      <c r="AJ58" s="26">
        <f t="shared" si="11"/>
        <v>20600</v>
      </c>
      <c r="AK58" s="51"/>
      <c r="AL58" s="52">
        <v>20000</v>
      </c>
    </row>
    <row r="59" spans="1:38" x14ac:dyDescent="0.25">
      <c r="A59" s="53">
        <v>130103</v>
      </c>
      <c r="B59" s="54" t="s">
        <v>46</v>
      </c>
      <c r="C59" s="54" t="s">
        <v>46</v>
      </c>
      <c r="D59" s="68" t="s">
        <v>46</v>
      </c>
      <c r="E59" s="56" t="s">
        <v>357</v>
      </c>
      <c r="F59" s="56" t="s">
        <v>256</v>
      </c>
      <c r="G59" s="64">
        <v>0</v>
      </c>
      <c r="H59" s="64">
        <v>3316.9500000000003</v>
      </c>
      <c r="I59" s="57">
        <v>5103</v>
      </c>
      <c r="J59" s="57">
        <v>5103</v>
      </c>
      <c r="K59" s="58">
        <v>7723</v>
      </c>
      <c r="L59" s="57">
        <v>2671</v>
      </c>
      <c r="M59" s="58">
        <v>2671</v>
      </c>
      <c r="N59" s="58">
        <v>2674</v>
      </c>
      <c r="O59" s="57">
        <v>32417</v>
      </c>
      <c r="P59" s="58">
        <v>32417</v>
      </c>
      <c r="Q59" s="58">
        <v>34517</v>
      </c>
      <c r="R59" s="57">
        <v>1254</v>
      </c>
      <c r="S59" s="58">
        <v>1254</v>
      </c>
      <c r="T59" s="58">
        <v>1094</v>
      </c>
      <c r="U59" s="59">
        <f t="shared" si="6"/>
        <v>5228.3999999999996</v>
      </c>
      <c r="V59" s="59">
        <f t="shared" si="7"/>
        <v>5912.7000000000007</v>
      </c>
      <c r="W59" s="59">
        <f>SUM(U59*'Factors &amp; Percentages'!$E$6+V59*'Factors &amp; Percentages'!$E$7)</f>
        <v>911.74032387776822</v>
      </c>
      <c r="X59" s="60">
        <v>0.25</v>
      </c>
      <c r="Y59" s="59">
        <f>X59*'Factors &amp; Percentages'!$E$10</f>
        <v>3540.2423215774024</v>
      </c>
      <c r="Z59" s="61">
        <v>5.2909772964164214E-2</v>
      </c>
      <c r="AA59" s="59">
        <f>+'Factors &amp; Percentages'!E$13*Z59</f>
        <v>8818.6915039571541</v>
      </c>
      <c r="AB59" s="62">
        <v>9</v>
      </c>
      <c r="AC59" s="85">
        <v>16</v>
      </c>
      <c r="AD59" s="63">
        <v>1720</v>
      </c>
      <c r="AE59" s="59">
        <f>AB59*'Factors &amp; Percentages'!$E$16+AC59*'Factors &amp; Percentages'!$E$17+AD59*'Factors &amp; Percentages'!$E$18</f>
        <v>1992.3137751210727</v>
      </c>
      <c r="AF59" s="59">
        <f t="shared" si="8"/>
        <v>15262.987924533396</v>
      </c>
      <c r="AG59" s="65">
        <f t="shared" si="9"/>
        <v>3316.9500000000003</v>
      </c>
      <c r="AH59" s="64">
        <f>IF($AL59&gt;$AF59,$AL59*(1+'Factors &amp; Percentages'!$B$3),
IF($AF59&gt;$AG59,$AG59,
IF($AF59&gt;$BOJ59,$AF59,
$AL59*(1+'Factors &amp; Percentages'!$B$3))))</f>
        <v>3316.9500000000003</v>
      </c>
      <c r="AI59" s="64">
        <f>IF(+MIN(AH59,+X59*2*AK$1)-(AL59*(1+'Factors &amp; Percentages'!B$3))&gt;0,0,+MIN(AH59,+X59*2*AK$1)-(AL59*(1+'Factors &amp; Percentages'!B$3)))</f>
        <v>0</v>
      </c>
      <c r="AJ59" s="64">
        <f t="shared" si="11"/>
        <v>3316.9500000000003</v>
      </c>
      <c r="AK59" s="65"/>
      <c r="AL59" s="66">
        <v>1600</v>
      </c>
    </row>
    <row r="60" spans="1:38" hidden="1" x14ac:dyDescent="0.25">
      <c r="A60" s="39">
        <v>130285</v>
      </c>
      <c r="B60" s="40" t="s">
        <v>397</v>
      </c>
      <c r="C60" s="40" t="s">
        <v>167</v>
      </c>
      <c r="D60" s="41" t="s">
        <v>167</v>
      </c>
      <c r="E60" s="42" t="s">
        <v>237</v>
      </c>
      <c r="F60" s="42" t="s">
        <v>239</v>
      </c>
      <c r="G60" s="26">
        <f t="shared" ref="G60:G91" si="12">+AJ60</f>
        <v>9555.2313449471803</v>
      </c>
      <c r="H60" s="26">
        <v>10478</v>
      </c>
      <c r="I60" s="43">
        <v>5280</v>
      </c>
      <c r="J60" s="43">
        <v>8413</v>
      </c>
      <c r="K60" s="44">
        <v>6943</v>
      </c>
      <c r="L60" s="43">
        <v>13946</v>
      </c>
      <c r="M60" s="44">
        <v>9177</v>
      </c>
      <c r="N60" s="44">
        <v>13000</v>
      </c>
      <c r="O60" s="43">
        <v>16384</v>
      </c>
      <c r="P60" s="44">
        <v>8708</v>
      </c>
      <c r="Q60" s="44">
        <v>2144</v>
      </c>
      <c r="R60" s="43">
        <v>8460</v>
      </c>
      <c r="S60" s="44">
        <v>8082</v>
      </c>
      <c r="T60" s="44">
        <v>5727</v>
      </c>
      <c r="U60" s="45">
        <f t="shared" si="6"/>
        <v>6126</v>
      </c>
      <c r="V60" s="45">
        <f t="shared" si="7"/>
        <v>15584.4</v>
      </c>
      <c r="W60" s="45">
        <f>SUM(U60*'Factors &amp; Percentages'!$E$6+V60*'Factors &amp; Percentages'!$E$7)</f>
        <v>1675.6014917637008</v>
      </c>
      <c r="X60" s="46">
        <v>0.17</v>
      </c>
      <c r="Y60" s="45">
        <f>X60*'Factors &amp; Percentages'!$E$10</f>
        <v>2407.3647786726337</v>
      </c>
      <c r="Z60" s="47">
        <v>3.9080819133969047E-2</v>
      </c>
      <c r="AA60" s="45">
        <f>+'Factors &amp; Percentages'!E$13*Z60</f>
        <v>6513.7623610262845</v>
      </c>
      <c r="AB60" s="48">
        <v>14</v>
      </c>
      <c r="AC60" s="49">
        <v>9</v>
      </c>
      <c r="AD60" s="50">
        <v>161</v>
      </c>
      <c r="AE60" s="45">
        <f>AB60*'Factors &amp; Percentages'!$E$16+AC60*'Factors &amp; Percentages'!$E$17+AD60*'Factors &amp; Percentages'!$E$18</f>
        <v>2143.579828466955</v>
      </c>
      <c r="AF60" s="45">
        <f t="shared" si="8"/>
        <v>12740.308459929573</v>
      </c>
      <c r="AG60" s="51">
        <f t="shared" si="9"/>
        <v>12740.308459929573</v>
      </c>
      <c r="AH60" s="26">
        <f>IF($AL60&gt;$AF60,$AL60*(1+'Factors &amp; Percentages'!$B$3),
IF($AF60&gt;$AG60,$AG60,
IF($AF60&gt;$BOJ60,$AF60,
$AL60*(1+'Factors &amp; Percentages'!$B$3))))</f>
        <v>12740.308459929573</v>
      </c>
      <c r="AI60" s="26">
        <f>IF(+MIN(AH60,+X60*2*AK$1)-(AL60*(1+'Factors &amp; Percentages'!B$3))&gt;0,0,+MIN(AH60,+X60*2*AK$1)-(AL60*(1+'Factors &amp; Percentages'!B$3)))</f>
        <v>0</v>
      </c>
      <c r="AJ60" s="26">
        <f>MIN(AH60-AI60,+X60*2*AK$1)*0.75</f>
        <v>9555.2313449471803</v>
      </c>
      <c r="AK60" s="51"/>
      <c r="AL60" s="52">
        <v>2000</v>
      </c>
    </row>
    <row r="61" spans="1:38" hidden="1" x14ac:dyDescent="0.25">
      <c r="A61" s="53">
        <v>130144</v>
      </c>
      <c r="B61" s="54" t="s">
        <v>161</v>
      </c>
      <c r="C61" s="54" t="s">
        <v>161</v>
      </c>
      <c r="D61" s="55" t="s">
        <v>161</v>
      </c>
      <c r="E61" s="56" t="s">
        <v>356</v>
      </c>
      <c r="F61" s="56" t="s">
        <v>358</v>
      </c>
      <c r="G61" s="64">
        <f t="shared" si="12"/>
        <v>13846.300000000001</v>
      </c>
      <c r="H61" s="64">
        <v>14697.800000000001</v>
      </c>
      <c r="I61" s="57">
        <v>21302</v>
      </c>
      <c r="J61" s="57">
        <v>22612</v>
      </c>
      <c r="K61" s="58">
        <v>22932</v>
      </c>
      <c r="L61" s="57">
        <v>861</v>
      </c>
      <c r="M61" s="58">
        <v>4068</v>
      </c>
      <c r="N61" s="58">
        <v>3734</v>
      </c>
      <c r="O61" s="57">
        <v>93608</v>
      </c>
      <c r="P61" s="58">
        <v>94864</v>
      </c>
      <c r="Q61" s="58">
        <v>92840</v>
      </c>
      <c r="R61" s="57">
        <v>1218</v>
      </c>
      <c r="S61" s="58">
        <v>2024</v>
      </c>
      <c r="T61" s="58">
        <v>2907</v>
      </c>
      <c r="U61" s="59">
        <f t="shared" si="6"/>
        <v>21423.8</v>
      </c>
      <c r="V61" s="59">
        <f t="shared" si="7"/>
        <v>10221.800000000001</v>
      </c>
      <c r="W61" s="59">
        <f>SUM(U61*'Factors &amp; Percentages'!$E$6+V61*'Factors &amp; Percentages'!$E$7)</f>
        <v>2753.2927413846128</v>
      </c>
      <c r="X61" s="60">
        <v>0.33</v>
      </c>
      <c r="Y61" s="59">
        <f>X61*'Factors &amp; Percentages'!$E$10</f>
        <v>4673.1198644821716</v>
      </c>
      <c r="Z61" s="61">
        <v>4.3744531933508315E-2</v>
      </c>
      <c r="AA61" s="59">
        <f>+'Factors &amp; Percentages'!E$13*Z61</f>
        <v>7291.0827337681803</v>
      </c>
      <c r="AB61" s="62">
        <v>20</v>
      </c>
      <c r="AC61" s="85">
        <v>40</v>
      </c>
      <c r="AD61" s="63">
        <v>1962</v>
      </c>
      <c r="AE61" s="59">
        <f>AB61*'Factors &amp; Percentages'!$E$16+AC61*'Factors &amp; Percentages'!$E$17+AD61*'Factors &amp; Percentages'!$E$18</f>
        <v>4131.0539178393483</v>
      </c>
      <c r="AF61" s="59">
        <f t="shared" si="8"/>
        <v>18848.549257474311</v>
      </c>
      <c r="AG61" s="65">
        <f t="shared" si="9"/>
        <v>13846.300000000001</v>
      </c>
      <c r="AH61" s="64">
        <f>IF($AL61&gt;$AF61,$AL61*(1+'Factors &amp; Percentages'!$B$3),
IF($AF61&gt;$AG61,$AG61,
IF($AF61&gt;$BOJ61,$AF61,
$AL61*(1+'Factors &amp; Percentages'!$B$3))))</f>
        <v>13846.300000000001</v>
      </c>
      <c r="AI61" s="64">
        <f>IF(+MIN(AH61,+X61*2*AK$1)-(AL61*(1+'Factors &amp; Percentages'!B$3))&gt;0,0,+MIN(AH61,+X61*2*AK$1)-(AL61*(1+'Factors &amp; Percentages'!B$3)))</f>
        <v>0</v>
      </c>
      <c r="AJ61" s="64">
        <f t="shared" ref="AJ61:AJ92" si="13">MIN(AH61-AI61,+X61*2*AK$1)</f>
        <v>13846.300000000001</v>
      </c>
      <c r="AK61" s="65"/>
      <c r="AL61" s="66">
        <v>9000</v>
      </c>
    </row>
    <row r="62" spans="1:38" hidden="1" x14ac:dyDescent="0.25">
      <c r="A62" s="39">
        <v>130303</v>
      </c>
      <c r="B62" s="40" t="s">
        <v>398</v>
      </c>
      <c r="C62" s="40" t="s">
        <v>175</v>
      </c>
      <c r="D62" s="41" t="s">
        <v>175</v>
      </c>
      <c r="E62" s="42" t="s">
        <v>237</v>
      </c>
      <c r="F62" s="42" t="s">
        <v>238</v>
      </c>
      <c r="G62" s="26">
        <f t="shared" si="12"/>
        <v>36637.25</v>
      </c>
      <c r="H62" s="26">
        <v>43717.05</v>
      </c>
      <c r="I62" s="43">
        <v>56365</v>
      </c>
      <c r="J62" s="43">
        <v>67257</v>
      </c>
      <c r="K62" s="44">
        <v>65234</v>
      </c>
      <c r="L62" s="43">
        <v>43284</v>
      </c>
      <c r="M62" s="44">
        <v>20509</v>
      </c>
      <c r="N62" s="44">
        <v>71942</v>
      </c>
      <c r="O62" s="43">
        <v>0</v>
      </c>
      <c r="P62" s="44">
        <v>0</v>
      </c>
      <c r="Q62" s="44">
        <v>0</v>
      </c>
      <c r="R62" s="43">
        <v>0</v>
      </c>
      <c r="S62" s="44">
        <v>0</v>
      </c>
      <c r="T62" s="44">
        <v>1119</v>
      </c>
      <c r="U62" s="45">
        <f t="shared" si="6"/>
        <v>56365</v>
      </c>
      <c r="V62" s="45">
        <f t="shared" si="7"/>
        <v>43284</v>
      </c>
      <c r="W62" s="45">
        <f>SUM(U62*'Factors &amp; Percentages'!$E$6+V62*'Factors &amp; Percentages'!$E$7)</f>
        <v>8393.7456257879021</v>
      </c>
      <c r="X62" s="46">
        <v>0.5</v>
      </c>
      <c r="Y62" s="45">
        <f>X62*'Factors &amp; Percentages'!$E$10</f>
        <v>7080.4846431548049</v>
      </c>
      <c r="Z62" s="47">
        <v>0.13305303493972698</v>
      </c>
      <c r="AA62" s="45">
        <f>+'Factors &amp; Percentages'!E$13*Z62</f>
        <v>22176.501675662017</v>
      </c>
      <c r="AB62" s="48">
        <v>45</v>
      </c>
      <c r="AC62" s="49">
        <v>98</v>
      </c>
      <c r="AD62" s="50">
        <v>7945</v>
      </c>
      <c r="AE62" s="45">
        <f>AB62*'Factors &amp; Percentages'!$E$16+AC62*'Factors &amp; Percentages'!$E$17+AD62*'Factors &amp; Percentages'!$E$18</f>
        <v>10273.832681406582</v>
      </c>
      <c r="AF62" s="45">
        <f t="shared" si="8"/>
        <v>47924.564626011306</v>
      </c>
      <c r="AG62" s="51">
        <f t="shared" si="9"/>
        <v>36637.25</v>
      </c>
      <c r="AH62" s="26">
        <f>IF($AL62&gt;$AF62,$AL62*(1+'Factors &amp; Percentages'!$B$3),
IF($AF62&gt;$AG62,$AG62,
IF($AF62&gt;$BOJ62,$AF62,
$AL62*(1+'Factors &amp; Percentages'!$B$3))))</f>
        <v>36637.25</v>
      </c>
      <c r="AI62" s="26">
        <f>IF(+MIN(AH62,+X62*2*AK$1)-(AL62*(1+'Factors &amp; Percentages'!B$3))&gt;0,0,+MIN(AH62,+X62*2*AK$1)-(AL62*(1+'Factors &amp; Percentages'!B$3)))</f>
        <v>0</v>
      </c>
      <c r="AJ62" s="26">
        <f t="shared" si="13"/>
        <v>36637.25</v>
      </c>
      <c r="AK62" s="51"/>
      <c r="AL62" s="52">
        <v>30000</v>
      </c>
    </row>
    <row r="63" spans="1:38" hidden="1" x14ac:dyDescent="0.25">
      <c r="A63" s="53">
        <v>130213</v>
      </c>
      <c r="B63" s="54" t="s">
        <v>33</v>
      </c>
      <c r="C63" s="54" t="s">
        <v>33</v>
      </c>
      <c r="D63" s="55" t="s">
        <v>33</v>
      </c>
      <c r="E63" s="56" t="s">
        <v>237</v>
      </c>
      <c r="F63" s="56" t="s">
        <v>239</v>
      </c>
      <c r="G63" s="64">
        <f t="shared" si="12"/>
        <v>7082.28</v>
      </c>
      <c r="H63" s="64">
        <v>7558.2</v>
      </c>
      <c r="I63" s="57">
        <v>9867</v>
      </c>
      <c r="J63" s="57">
        <v>11628</v>
      </c>
      <c r="K63" s="58">
        <v>10578</v>
      </c>
      <c r="L63" s="57">
        <v>3168</v>
      </c>
      <c r="M63" s="58">
        <v>5005</v>
      </c>
      <c r="N63" s="58">
        <v>7826</v>
      </c>
      <c r="O63" s="57">
        <v>43590</v>
      </c>
      <c r="P63" s="58">
        <v>44396</v>
      </c>
      <c r="Q63" s="58">
        <v>45341</v>
      </c>
      <c r="R63" s="57">
        <v>3287</v>
      </c>
      <c r="S63" s="58">
        <v>676</v>
      </c>
      <c r="T63" s="58">
        <v>822</v>
      </c>
      <c r="U63" s="59">
        <f t="shared" si="6"/>
        <v>10195.700000000001</v>
      </c>
      <c r="V63" s="59">
        <f t="shared" si="7"/>
        <v>7527</v>
      </c>
      <c r="W63" s="59">
        <f>SUM(U63*'Factors &amp; Percentages'!$E$6+V63*'Factors &amp; Percentages'!$E$7)</f>
        <v>1497.0960133420667</v>
      </c>
      <c r="X63" s="60">
        <v>0.06</v>
      </c>
      <c r="Y63" s="59">
        <f>X63*'Factors &amp; Percentages'!$E$10</f>
        <v>849.65815717857652</v>
      </c>
      <c r="Z63" s="61">
        <v>5.3151908153502708E-2</v>
      </c>
      <c r="AA63" s="59">
        <f>+'Factors &amp; Percentages'!E$13*Z63</f>
        <v>8859.0491811385436</v>
      </c>
      <c r="AB63" s="62">
        <v>12</v>
      </c>
      <c r="AC63" s="85">
        <v>20</v>
      </c>
      <c r="AD63" s="63">
        <v>419</v>
      </c>
      <c r="AE63" s="59">
        <f>AB63*'Factors &amp; Percentages'!$E$16+AC63*'Factors &amp; Percentages'!$E$17+AD63*'Factors &amp; Percentages'!$E$18</f>
        <v>2210.5506218376709</v>
      </c>
      <c r="AF63" s="59">
        <f t="shared" si="8"/>
        <v>13416.353973496856</v>
      </c>
      <c r="AG63" s="65">
        <f t="shared" si="9"/>
        <v>6413.55</v>
      </c>
      <c r="AH63" s="64">
        <f>IF($AL63&gt;$AF63,$AL63*(1+'Factors &amp; Percentages'!$B$3),
IF($AF63&gt;$AG63,$AG63,
IF($AF63&gt;$BOJ63,$AF63,
$AL63*(1+'Factors &amp; Percentages'!$B$3))))</f>
        <v>6413.55</v>
      </c>
      <c r="AI63" s="64">
        <f>IF(+MIN(AH63,+X63*2*AK$1)-(AL63*(1+'Factors &amp; Percentages'!B$3))&gt;0,0,+MIN(AH63,+X63*2*AK$1)-(AL63*(1+'Factors &amp; Percentages'!B$3)))</f>
        <v>-668.72999999999956</v>
      </c>
      <c r="AJ63" s="64">
        <f t="shared" si="13"/>
        <v>7082.28</v>
      </c>
      <c r="AK63" s="65"/>
      <c r="AL63" s="66">
        <v>6876</v>
      </c>
    </row>
    <row r="64" spans="1:38" x14ac:dyDescent="0.25">
      <c r="A64" s="39">
        <v>130061</v>
      </c>
      <c r="B64" s="40" t="s">
        <v>399</v>
      </c>
      <c r="C64" s="40" t="s">
        <v>109</v>
      </c>
      <c r="D64" s="41" t="s">
        <v>109</v>
      </c>
      <c r="E64" s="42" t="s">
        <v>357</v>
      </c>
      <c r="F64" s="42" t="s">
        <v>359</v>
      </c>
      <c r="G64" s="26">
        <f t="shared" si="12"/>
        <v>13684.45</v>
      </c>
      <c r="H64" s="26">
        <v>11550</v>
      </c>
      <c r="I64" s="43">
        <v>21053</v>
      </c>
      <c r="J64" s="43">
        <v>20219</v>
      </c>
      <c r="K64" s="44">
        <v>21177</v>
      </c>
      <c r="L64" s="43">
        <v>6407</v>
      </c>
      <c r="M64" s="44">
        <v>7556</v>
      </c>
      <c r="N64" s="44">
        <v>10930</v>
      </c>
      <c r="O64" s="43">
        <v>5597</v>
      </c>
      <c r="P64" s="44">
        <v>5354</v>
      </c>
      <c r="Q64" s="44">
        <v>5085</v>
      </c>
      <c r="R64" s="43">
        <v>367</v>
      </c>
      <c r="S64" s="44">
        <v>360</v>
      </c>
      <c r="T64" s="44">
        <v>158</v>
      </c>
      <c r="U64" s="45">
        <f t="shared" si="6"/>
        <v>21089.7</v>
      </c>
      <c r="V64" s="45">
        <f t="shared" si="7"/>
        <v>6966.7</v>
      </c>
      <c r="W64" s="45">
        <f>SUM(U64*'Factors &amp; Percentages'!$E$6+V64*'Factors &amp; Percentages'!$E$7)</f>
        <v>2493.1664640865474</v>
      </c>
      <c r="X64" s="46">
        <v>0.2</v>
      </c>
      <c r="Y64" s="45">
        <f>X64*'Factors &amp; Percentages'!$E$10</f>
        <v>2832.1938572619219</v>
      </c>
      <c r="Z64" s="47">
        <v>2.2437875133224882E-2</v>
      </c>
      <c r="AA64" s="45">
        <f>+'Factors &amp; Percentages'!E$13*Z64</f>
        <v>3739.8137946696711</v>
      </c>
      <c r="AB64" s="48">
        <v>20</v>
      </c>
      <c r="AC64" s="49">
        <v>27</v>
      </c>
      <c r="AD64" s="50">
        <v>6783</v>
      </c>
      <c r="AE64" s="45">
        <f>AB64*'Factors &amp; Percentages'!$E$16+AC64*'Factors &amp; Percentages'!$E$17+AD64*'Factors &amp; Percentages'!$E$18</f>
        <v>4861.4213775078897</v>
      </c>
      <c r="AF64" s="45">
        <f t="shared" si="8"/>
        <v>13926.595493526031</v>
      </c>
      <c r="AG64" s="51">
        <f t="shared" si="9"/>
        <v>13684.45</v>
      </c>
      <c r="AH64" s="26">
        <f>IF($AL64&gt;$AF64,$AL64*(1+'Factors &amp; Percentages'!$B$3),
IF($AF64&gt;$AG64,$AG64,
IF($AF64&gt;$BOJ64,$AF64,
$AL64*(1+'Factors &amp; Percentages'!$B$3))))</f>
        <v>13684.45</v>
      </c>
      <c r="AI64" s="26">
        <f>IF(+MIN(AH64,+X64*2*AK$1)-(AL64*(1+'Factors &amp; Percentages'!B$3))&gt;0,0,+MIN(AH64,+X64*2*AK$1)-(AL64*(1+'Factors &amp; Percentages'!B$3)))</f>
        <v>0</v>
      </c>
      <c r="AJ64" s="26">
        <f t="shared" si="13"/>
        <v>13684.45</v>
      </c>
      <c r="AK64" s="51"/>
      <c r="AL64" s="52">
        <v>11000</v>
      </c>
    </row>
    <row r="65" spans="1:38" hidden="1" x14ac:dyDescent="0.25">
      <c r="A65" s="53">
        <v>130191</v>
      </c>
      <c r="B65" s="54" t="s">
        <v>14</v>
      </c>
      <c r="C65" s="54" t="s">
        <v>14</v>
      </c>
      <c r="D65" s="55" t="s">
        <v>14</v>
      </c>
      <c r="E65" s="56" t="s">
        <v>237</v>
      </c>
      <c r="F65" s="56" t="s">
        <v>237</v>
      </c>
      <c r="G65" s="64">
        <f t="shared" si="12"/>
        <v>11702.35837822232</v>
      </c>
      <c r="H65" s="64">
        <v>7578.35</v>
      </c>
      <c r="I65" s="57">
        <v>17782</v>
      </c>
      <c r="J65" s="57">
        <v>11659</v>
      </c>
      <c r="K65" s="58">
        <v>12922</v>
      </c>
      <c r="L65" s="57">
        <v>15462</v>
      </c>
      <c r="M65" s="58">
        <v>12789</v>
      </c>
      <c r="N65" s="58">
        <v>12645</v>
      </c>
      <c r="O65" s="57">
        <v>0</v>
      </c>
      <c r="P65" s="58">
        <v>0</v>
      </c>
      <c r="Q65" s="58">
        <v>173</v>
      </c>
      <c r="R65" s="57">
        <v>0</v>
      </c>
      <c r="S65" s="58">
        <v>0</v>
      </c>
      <c r="T65" s="58">
        <v>2155</v>
      </c>
      <c r="U65" s="59">
        <f t="shared" si="6"/>
        <v>17782</v>
      </c>
      <c r="V65" s="59">
        <f t="shared" si="7"/>
        <v>15462</v>
      </c>
      <c r="W65" s="59">
        <f>SUM(U65*'Factors &amp; Percentages'!$E$6+V65*'Factors &amp; Percentages'!$E$7)</f>
        <v>2774.8158489151074</v>
      </c>
      <c r="X65" s="60">
        <v>0.25</v>
      </c>
      <c r="Y65" s="59">
        <f>X65*'Factors &amp; Percentages'!$E$10</f>
        <v>3540.2423215774024</v>
      </c>
      <c r="Z65" s="61">
        <v>1.91297128438805E-2</v>
      </c>
      <c r="AA65" s="59">
        <f>+'Factors &amp; Percentages'!E$13*Z65</f>
        <v>3188.4286527505769</v>
      </c>
      <c r="AB65" s="62">
        <v>11</v>
      </c>
      <c r="AC65" s="85">
        <v>19</v>
      </c>
      <c r="AD65" s="63">
        <v>1092</v>
      </c>
      <c r="AE65" s="59">
        <f>AB65*'Factors &amp; Percentages'!$E$16+AC65*'Factors &amp; Percentages'!$E$17+AD65*'Factors &amp; Percentages'!$E$18</f>
        <v>2198.8715549792328</v>
      </c>
      <c r="AF65" s="59">
        <f t="shared" si="8"/>
        <v>11702.35837822232</v>
      </c>
      <c r="AG65" s="65">
        <f t="shared" si="9"/>
        <v>11702.35837822232</v>
      </c>
      <c r="AH65" s="64">
        <f>IF($AL65&gt;$AF65,$AL65*(1+'Factors &amp; Percentages'!$B$3),
IF($AF65&gt;$AG65,$AG65,
IF($AF65&gt;$BOJ65,$AF65,
$AL65*(1+'Factors &amp; Percentages'!$B$3))))</f>
        <v>11702.35837822232</v>
      </c>
      <c r="AI65" s="64">
        <f>IF(+MIN(AH65,+X65*2*AK$1)-(AL65*(1+'Factors &amp; Percentages'!B$3))&gt;0,0,+MIN(AH65,+X65*2*AK$1)-(AL65*(1+'Factors &amp; Percentages'!B$3)))</f>
        <v>0</v>
      </c>
      <c r="AJ65" s="64">
        <f t="shared" si="13"/>
        <v>11702.35837822232</v>
      </c>
      <c r="AK65" s="65"/>
      <c r="AL65" s="66">
        <v>5500</v>
      </c>
    </row>
    <row r="66" spans="1:38" hidden="1" x14ac:dyDescent="0.25">
      <c r="A66" s="39">
        <v>130304</v>
      </c>
      <c r="B66" s="40" t="s">
        <v>176</v>
      </c>
      <c r="C66" s="40" t="s">
        <v>176</v>
      </c>
      <c r="D66" s="41" t="s">
        <v>176</v>
      </c>
      <c r="E66" s="42" t="s">
        <v>237</v>
      </c>
      <c r="F66" s="42" t="s">
        <v>238</v>
      </c>
      <c r="G66" s="26">
        <f t="shared" si="12"/>
        <v>21544.18604651163</v>
      </c>
      <c r="H66" s="26">
        <v>21544.18604651163</v>
      </c>
      <c r="I66" s="43">
        <v>24842</v>
      </c>
      <c r="J66" s="43">
        <v>23367</v>
      </c>
      <c r="K66" s="44">
        <v>24704</v>
      </c>
      <c r="L66" s="43">
        <v>49862</v>
      </c>
      <c r="M66" s="44">
        <v>50495</v>
      </c>
      <c r="N66" s="44">
        <v>59604</v>
      </c>
      <c r="O66" s="43">
        <v>0</v>
      </c>
      <c r="P66" s="44">
        <v>0</v>
      </c>
      <c r="Q66" s="44">
        <v>0</v>
      </c>
      <c r="R66" s="43">
        <v>0</v>
      </c>
      <c r="S66" s="44">
        <v>0</v>
      </c>
      <c r="T66" s="44">
        <v>0</v>
      </c>
      <c r="U66" s="45">
        <f t="shared" ref="U66:U97" si="14">I66+R66*0.1</f>
        <v>24842</v>
      </c>
      <c r="V66" s="45">
        <f t="shared" ref="V66:V97" si="15">L66+0.1*O66</f>
        <v>49862</v>
      </c>
      <c r="W66" s="45">
        <f>SUM(U66*'Factors &amp; Percentages'!$E$6+V66*'Factors &amp; Percentages'!$E$7)</f>
        <v>5859.260419848144</v>
      </c>
      <c r="X66" s="46">
        <v>0.1</v>
      </c>
      <c r="Y66" s="45">
        <f>X66*'Factors &amp; Percentages'!$E$10</f>
        <v>1416.096928630961</v>
      </c>
      <c r="Z66" s="47">
        <v>7.871970275440239E-2</v>
      </c>
      <c r="AA66" s="45">
        <f>+'Factors &amp; Percentages'!E$13*Z66</f>
        <v>13120.539646701294</v>
      </c>
      <c r="AB66" s="48">
        <v>24</v>
      </c>
      <c r="AC66" s="49">
        <v>42</v>
      </c>
      <c r="AD66" s="50">
        <v>282</v>
      </c>
      <c r="AE66" s="45">
        <f>AB66*'Factors &amp; Percentages'!$E$16+AC66*'Factors &amp; Percentages'!$E$17+AD66*'Factors &amp; Percentages'!$E$18</f>
        <v>4349.5612907347067</v>
      </c>
      <c r="AF66" s="45">
        <f t="shared" ref="AF66:AF97" si="16">W66+Y66+AA66+AE66</f>
        <v>24745.458285915105</v>
      </c>
      <c r="AG66" s="51">
        <f t="shared" ref="AG66:AG97" si="17">IF($L66&gt;SUM(I66:K66)/3,$AF66,MIN(AF66,$I66*0.65))</f>
        <v>24745.458285915105</v>
      </c>
      <c r="AH66" s="26">
        <f>IF($AL66&gt;$AF66,$AL66*(1+'Factors &amp; Percentages'!$B$3),
IF($AF66&gt;$AG66,$AG66,
IF($AF66&gt;$BOJ66,$AF66,
$AL66*(1+'Factors &amp; Percentages'!$B$3))))</f>
        <v>24745.458285915105</v>
      </c>
      <c r="AI66" s="26">
        <f>IF(+MIN(AH66,+X66*2*AK$1)-(AL66*(1+'Factors &amp; Percentages'!B$3))&gt;0,0,+MIN(AH66,+X66*2*AK$1)-(AL66*(1+'Factors &amp; Percentages'!B$3)))</f>
        <v>0</v>
      </c>
      <c r="AJ66" s="26">
        <f t="shared" si="13"/>
        <v>21544.18604651163</v>
      </c>
      <c r="AK66" s="51"/>
      <c r="AL66" s="52">
        <v>15000</v>
      </c>
    </row>
    <row r="67" spans="1:38" hidden="1" x14ac:dyDescent="0.25">
      <c r="A67" s="53">
        <v>130250</v>
      </c>
      <c r="B67" s="54" t="s">
        <v>127</v>
      </c>
      <c r="C67" s="54" t="s">
        <v>127</v>
      </c>
      <c r="D67" s="55" t="s">
        <v>127</v>
      </c>
      <c r="E67" s="56" t="s">
        <v>237</v>
      </c>
      <c r="F67" s="56" t="s">
        <v>126</v>
      </c>
      <c r="G67" s="64">
        <f t="shared" si="12"/>
        <v>26502.93</v>
      </c>
      <c r="H67" s="64">
        <v>25730.555846746152</v>
      </c>
      <c r="I67" s="57">
        <v>24004</v>
      </c>
      <c r="J67" s="57">
        <v>19648</v>
      </c>
      <c r="K67" s="58">
        <v>24114</v>
      </c>
      <c r="L67" s="57">
        <v>17511</v>
      </c>
      <c r="M67" s="58">
        <v>23201</v>
      </c>
      <c r="N67" s="58">
        <v>15667</v>
      </c>
      <c r="O67" s="57">
        <f>82873-17511</f>
        <v>65362</v>
      </c>
      <c r="P67" s="58">
        <v>73006</v>
      </c>
      <c r="Q67" s="58">
        <v>96181</v>
      </c>
      <c r="R67" s="57">
        <f>9053+880+200+45780-36000-200</f>
        <v>19713</v>
      </c>
      <c r="S67" s="58">
        <v>16680</v>
      </c>
      <c r="T67" s="58">
        <v>13242</v>
      </c>
      <c r="U67" s="59">
        <f t="shared" si="14"/>
        <v>25975.3</v>
      </c>
      <c r="V67" s="59">
        <f t="shared" si="15"/>
        <v>24047.200000000001</v>
      </c>
      <c r="W67" s="59">
        <f>SUM(U67*'Factors &amp; Percentages'!$E$6+V67*'Factors &amp; Percentages'!$E$7)</f>
        <v>4155.842836367985</v>
      </c>
      <c r="X67" s="60">
        <v>0.5</v>
      </c>
      <c r="Y67" s="59">
        <f>X67*'Factors &amp; Percentages'!$E$10</f>
        <v>7080.4846431548049</v>
      </c>
      <c r="Z67" s="61">
        <v>0.10187449062754686</v>
      </c>
      <c r="AA67" s="59">
        <f>+'Factors &amp; Percentages'!E$13*Z67</f>
        <v>16979.844263848878</v>
      </c>
      <c r="AB67" s="62">
        <v>15</v>
      </c>
      <c r="AC67" s="85">
        <v>33</v>
      </c>
      <c r="AD67" s="63">
        <v>654</v>
      </c>
      <c r="AE67" s="59">
        <f>AB67*'Factors &amp; Percentages'!$E$16+AC67*'Factors &amp; Percentages'!$E$17+AD67*'Factors &amp; Percentages'!$E$18</f>
        <v>2994.6080177768849</v>
      </c>
      <c r="AF67" s="59">
        <f t="shared" si="16"/>
        <v>31210.779761148555</v>
      </c>
      <c r="AG67" s="65">
        <f t="shared" si="17"/>
        <v>15602.6</v>
      </c>
      <c r="AH67" s="64">
        <f>IF($AL67&gt;$AF67,$AL67*(1+'Factors &amp; Percentages'!$B$3),
IF($AF67&gt;$AG67,$AG67,
IF($AF67&gt;$BOJ67,$AF67,
$AL67*(1+'Factors &amp; Percentages'!$B$3))))</f>
        <v>15602.6</v>
      </c>
      <c r="AI67" s="64">
        <f>IF(+MIN(AH67,+X67*2*AK$1)-(AL67*(1+'Factors &amp; Percentages'!B$3))&gt;0,0,+MIN(AH67,+X67*2*AK$1)-(AL67*(1+'Factors &amp; Percentages'!B$3)))</f>
        <v>-10900.33</v>
      </c>
      <c r="AJ67" s="64">
        <f t="shared" si="13"/>
        <v>26502.93</v>
      </c>
      <c r="AK67" s="65"/>
      <c r="AL67" s="66">
        <v>25731</v>
      </c>
    </row>
    <row r="68" spans="1:38" hidden="1" x14ac:dyDescent="0.25">
      <c r="A68" s="39">
        <v>130353</v>
      </c>
      <c r="B68" s="40" t="s">
        <v>293</v>
      </c>
      <c r="C68" s="40" t="s">
        <v>293</v>
      </c>
      <c r="D68" s="41" t="s">
        <v>226</v>
      </c>
      <c r="E68" s="42" t="s">
        <v>237</v>
      </c>
      <c r="F68" s="42" t="s">
        <v>237</v>
      </c>
      <c r="G68" s="26">
        <f t="shared" si="12"/>
        <v>17511.710835575021</v>
      </c>
      <c r="H68" s="26">
        <v>23599.622739321047</v>
      </c>
      <c r="I68" s="43">
        <v>19671</v>
      </c>
      <c r="J68" s="43">
        <v>20967</v>
      </c>
      <c r="K68" s="44">
        <v>14743</v>
      </c>
      <c r="L68" s="43">
        <v>25426</v>
      </c>
      <c r="M68" s="44">
        <v>36820</v>
      </c>
      <c r="N68" s="44">
        <v>36698</v>
      </c>
      <c r="O68" s="43">
        <v>8396</v>
      </c>
      <c r="P68" s="44">
        <v>8091</v>
      </c>
      <c r="Q68" s="44">
        <v>9127</v>
      </c>
      <c r="R68" s="43">
        <v>0</v>
      </c>
      <c r="S68" s="44">
        <v>0</v>
      </c>
      <c r="T68" s="44">
        <v>0</v>
      </c>
      <c r="U68" s="45">
        <f t="shared" si="14"/>
        <v>19671</v>
      </c>
      <c r="V68" s="45">
        <f t="shared" si="15"/>
        <v>26265.599999999999</v>
      </c>
      <c r="W68" s="45">
        <f>SUM(U68*'Factors &amp; Percentages'!$E$6+V68*'Factors &amp; Percentages'!$E$7)</f>
        <v>3712.3134111214104</v>
      </c>
      <c r="X68" s="46">
        <v>0.16500000000000001</v>
      </c>
      <c r="Y68" s="45">
        <f>X68*'Factors &amp; Percentages'!$E$10</f>
        <v>2336.5599322410858</v>
      </c>
      <c r="Z68" s="47">
        <v>5.4075976747330001E-2</v>
      </c>
      <c r="AA68" s="45">
        <f>+'Factors &amp; Percentages'!E$13*Z68</f>
        <v>9013.0675297520938</v>
      </c>
      <c r="AB68" s="48">
        <v>12</v>
      </c>
      <c r="AC68" s="49">
        <v>17</v>
      </c>
      <c r="AD68" s="50">
        <v>1853</v>
      </c>
      <c r="AE68" s="45">
        <f>AB68*'Factors &amp; Percentages'!$E$16+AC68*'Factors &amp; Percentages'!$E$17+AD68*'Factors &amp; Percentages'!$E$18</f>
        <v>2449.7699624604297</v>
      </c>
      <c r="AF68" s="45">
        <f t="shared" si="16"/>
        <v>17511.710835575021</v>
      </c>
      <c r="AG68" s="51">
        <f t="shared" si="17"/>
        <v>17511.710835575021</v>
      </c>
      <c r="AH68" s="26">
        <f>IF($AL68&gt;$AF68,$AL68*(1+'Factors &amp; Percentages'!$B$3),
IF($AF68&gt;$AG68,$AG68,
IF($AF68&gt;$BOJ68,$AF68,
$AL68*(1+'Factors &amp; Percentages'!$B$3))))</f>
        <v>17511.710835575021</v>
      </c>
      <c r="AI68" s="26">
        <f>IF(+MIN(AH68,+X68*2*AK$1)-(AL68*(1+'Factors &amp; Percentages'!B$3))&gt;0,0,+MIN(AH68,+X68*2*AK$1)-(AL68*(1+'Factors &amp; Percentages'!B$3)))</f>
        <v>0</v>
      </c>
      <c r="AJ68" s="26">
        <f t="shared" si="13"/>
        <v>17511.710835575021</v>
      </c>
      <c r="AK68" s="51"/>
      <c r="AL68" s="52">
        <v>12000</v>
      </c>
    </row>
    <row r="69" spans="1:38" hidden="1" x14ac:dyDescent="0.25">
      <c r="A69" s="53">
        <v>130146</v>
      </c>
      <c r="B69" s="54" t="s">
        <v>294</v>
      </c>
      <c r="C69" s="54" t="s">
        <v>294</v>
      </c>
      <c r="D69" s="55" t="s">
        <v>84</v>
      </c>
      <c r="E69" s="56" t="s">
        <v>356</v>
      </c>
      <c r="F69" s="56" t="s">
        <v>356</v>
      </c>
      <c r="G69" s="64">
        <f t="shared" si="12"/>
        <v>11914.911565088651</v>
      </c>
      <c r="H69" s="64">
        <v>11914.729027286296</v>
      </c>
      <c r="I69" s="57">
        <v>6435</v>
      </c>
      <c r="J69" s="57">
        <v>6488</v>
      </c>
      <c r="K69" s="58">
        <v>6591</v>
      </c>
      <c r="L69" s="57">
        <v>9030</v>
      </c>
      <c r="M69" s="58">
        <v>9509</v>
      </c>
      <c r="N69" s="58">
        <v>26779</v>
      </c>
      <c r="O69" s="57">
        <v>31132</v>
      </c>
      <c r="P69" s="58">
        <v>34024</v>
      </c>
      <c r="Q69" s="58">
        <v>18105</v>
      </c>
      <c r="R69" s="57">
        <v>281</v>
      </c>
      <c r="S69" s="58">
        <v>234</v>
      </c>
      <c r="T69" s="58">
        <v>301</v>
      </c>
      <c r="U69" s="59">
        <f t="shared" si="14"/>
        <v>6463.1</v>
      </c>
      <c r="V69" s="59">
        <f t="shared" si="15"/>
        <v>12143.2</v>
      </c>
      <c r="W69" s="59">
        <f>SUM(U69*'Factors &amp; Percentages'!$E$6+V69*'Factors &amp; Percentages'!$E$7)</f>
        <v>1466.2104572473929</v>
      </c>
      <c r="X69" s="60">
        <v>0.16500000000000001</v>
      </c>
      <c r="Y69" s="59">
        <f>X69*'Factors &amp; Percentages'!$E$10</f>
        <v>2336.5599322410858</v>
      </c>
      <c r="Z69" s="61">
        <v>4.0503868119405401E-2</v>
      </c>
      <c r="AA69" s="59">
        <f>+'Factors &amp; Percentages'!E$13*Z69</f>
        <v>6750.9478429235924</v>
      </c>
      <c r="AB69" s="62">
        <v>7</v>
      </c>
      <c r="AC69" s="85">
        <v>10</v>
      </c>
      <c r="AD69" s="63">
        <v>881</v>
      </c>
      <c r="AE69" s="59">
        <f>AB69*'Factors &amp; Percentages'!$E$16+AC69*'Factors &amp; Percentages'!$E$17+AD69*'Factors &amp; Percentages'!$E$18</f>
        <v>1387.1933326765791</v>
      </c>
      <c r="AF69" s="59">
        <f t="shared" si="16"/>
        <v>11940.911565088651</v>
      </c>
      <c r="AG69" s="65">
        <f t="shared" si="17"/>
        <v>11940.911565088651</v>
      </c>
      <c r="AH69" s="64">
        <f>IF($AL69&gt;$AF69,$AL69*(1+'Factors &amp; Percentages'!$B$3),
IF($AF69&gt;$AG69,$AG69,
IF($AF69&gt;$BOJ69,$AF69,
$AL69*(1+'Factors &amp; Percentages'!$B$3))))-26</f>
        <v>11914.911565088651</v>
      </c>
      <c r="AI69" s="64">
        <f>IF(+MIN(AH69,+X69*2*AK$1)-(AL69*(1+'Factors &amp; Percentages'!B$3))&gt;0,0,+MIN(AH69,+X69*2*AK$1)-(AL69*(1+'Factors &amp; Percentages'!B$3)))</f>
        <v>0</v>
      </c>
      <c r="AJ69" s="64">
        <f t="shared" si="13"/>
        <v>11914.911565088651</v>
      </c>
      <c r="AK69" s="65"/>
      <c r="AL69" s="66">
        <v>2500</v>
      </c>
    </row>
    <row r="70" spans="1:38" hidden="1" x14ac:dyDescent="0.25">
      <c r="A70" s="39">
        <v>130193</v>
      </c>
      <c r="B70" s="40" t="s">
        <v>15</v>
      </c>
      <c r="C70" s="40" t="s">
        <v>15</v>
      </c>
      <c r="D70" s="41" t="s">
        <v>15</v>
      </c>
      <c r="E70" s="42" t="s">
        <v>237</v>
      </c>
      <c r="F70" s="42" t="s">
        <v>237</v>
      </c>
      <c r="G70" s="26">
        <f t="shared" si="12"/>
        <v>20765.001432833713</v>
      </c>
      <c r="H70" s="26">
        <v>24581.198938077832</v>
      </c>
      <c r="I70" s="43">
        <v>32258</v>
      </c>
      <c r="J70" s="43">
        <v>27794</v>
      </c>
      <c r="K70" s="44">
        <v>18286</v>
      </c>
      <c r="L70" s="43">
        <v>40130</v>
      </c>
      <c r="M70" s="44">
        <v>35941</v>
      </c>
      <c r="N70" s="44">
        <v>32748</v>
      </c>
      <c r="O70" s="43">
        <v>60000</v>
      </c>
      <c r="P70" s="44">
        <v>60000</v>
      </c>
      <c r="Q70" s="44">
        <v>60000</v>
      </c>
      <c r="R70" s="43">
        <v>0</v>
      </c>
      <c r="S70" s="44">
        <v>602</v>
      </c>
      <c r="T70" s="44">
        <v>3394</v>
      </c>
      <c r="U70" s="45">
        <f t="shared" si="14"/>
        <v>32258</v>
      </c>
      <c r="V70" s="45">
        <f t="shared" si="15"/>
        <v>46130</v>
      </c>
      <c r="W70" s="45">
        <f>SUM(U70*'Factors &amp; Percentages'!$E$6+V70*'Factors &amp; Percentages'!$E$7)</f>
        <v>6302.2553712861463</v>
      </c>
      <c r="X70" s="46">
        <v>0.16500000000000001</v>
      </c>
      <c r="Y70" s="45">
        <f>X70*'Factors &amp; Percentages'!$E$10</f>
        <v>2336.5599322410858</v>
      </c>
      <c r="Z70" s="47">
        <v>4.8501780015326568E-2</v>
      </c>
      <c r="AA70" s="45">
        <f>+'Factors &amp; Percentages'!E$13*Z70</f>
        <v>8083.993020299964</v>
      </c>
      <c r="AB70" s="48">
        <v>20</v>
      </c>
      <c r="AC70" s="49">
        <v>36</v>
      </c>
      <c r="AD70" s="50">
        <v>2019</v>
      </c>
      <c r="AE70" s="45">
        <f>AB70*'Factors &amp; Percentages'!$E$16+AC70*'Factors &amp; Percentages'!$E$17+AD70*'Factors &amp; Percentages'!$E$18</f>
        <v>4042.19310900652</v>
      </c>
      <c r="AF70" s="45">
        <f t="shared" si="16"/>
        <v>20765.001432833713</v>
      </c>
      <c r="AG70" s="51">
        <f t="shared" si="17"/>
        <v>20765.001432833713</v>
      </c>
      <c r="AH70" s="26">
        <f>IF($AL70&gt;$AF70,$AL70*(1+'Factors &amp; Percentages'!$B$3),
IF($AF70&gt;$AG70,$AG70,
IF($AF70&gt;$BOJ70,$AF70,
$AL70*(1+'Factors &amp; Percentages'!$B$3))))</f>
        <v>20765.001432833713</v>
      </c>
      <c r="AI70" s="26">
        <f>IF(+MIN(AH70,+X70*2*AK$1)-(AL70*(1+'Factors &amp; Percentages'!B$3))&gt;0,0,+MIN(AH70,+X70*2*AK$1)-(AL70*(1+'Factors &amp; Percentages'!B$3)))</f>
        <v>0</v>
      </c>
      <c r="AJ70" s="26">
        <f t="shared" si="13"/>
        <v>20765.001432833713</v>
      </c>
      <c r="AK70" s="51"/>
      <c r="AL70" s="52">
        <v>8000</v>
      </c>
    </row>
    <row r="71" spans="1:38" hidden="1" x14ac:dyDescent="0.25">
      <c r="A71" s="53">
        <v>130214</v>
      </c>
      <c r="B71" s="54" t="s">
        <v>34</v>
      </c>
      <c r="C71" s="54" t="s">
        <v>34</v>
      </c>
      <c r="D71" s="55" t="s">
        <v>34</v>
      </c>
      <c r="E71" s="56" t="s">
        <v>237</v>
      </c>
      <c r="F71" s="56" t="s">
        <v>239</v>
      </c>
      <c r="G71" s="64">
        <f t="shared" si="12"/>
        <v>11930.1</v>
      </c>
      <c r="H71" s="64">
        <v>11039.017210734513</v>
      </c>
      <c r="I71" s="57">
        <v>18354</v>
      </c>
      <c r="J71" s="57">
        <v>19010</v>
      </c>
      <c r="K71" s="58">
        <v>19672</v>
      </c>
      <c r="L71" s="57">
        <v>14874</v>
      </c>
      <c r="M71" s="58">
        <v>11247</v>
      </c>
      <c r="N71" s="58">
        <v>18131</v>
      </c>
      <c r="O71" s="57">
        <v>450</v>
      </c>
      <c r="P71" s="58">
        <v>5450</v>
      </c>
      <c r="Q71" s="58">
        <v>0</v>
      </c>
      <c r="R71" s="57">
        <v>1931</v>
      </c>
      <c r="S71" s="58">
        <v>0</v>
      </c>
      <c r="T71" s="58">
        <v>482</v>
      </c>
      <c r="U71" s="59">
        <f t="shared" si="14"/>
        <v>18547.099999999999</v>
      </c>
      <c r="V71" s="59">
        <f t="shared" si="15"/>
        <v>14919</v>
      </c>
      <c r="W71" s="59">
        <f>SUM(U71*'Factors &amp; Percentages'!$E$6+V71*'Factors &amp; Percentages'!$E$7)</f>
        <v>2809.4359002146748</v>
      </c>
      <c r="X71" s="60">
        <v>0.33</v>
      </c>
      <c r="Y71" s="59">
        <f>X71*'Factors &amp; Percentages'!$E$10</f>
        <v>4673.1198644821716</v>
      </c>
      <c r="Z71" s="61">
        <v>2.2189037284239346E-2</v>
      </c>
      <c r="AA71" s="59">
        <f>+'Factors &amp; Percentages'!E$13*Z71</f>
        <v>3698.3389573801969</v>
      </c>
      <c r="AB71" s="62">
        <v>17</v>
      </c>
      <c r="AC71" s="85">
        <v>0</v>
      </c>
      <c r="AD71" s="63">
        <v>2084</v>
      </c>
      <c r="AE71" s="59">
        <f>AB71*'Factors &amp; Percentages'!$E$16+AC71*'Factors &amp; Percentages'!$E$17+AD71*'Factors &amp; Percentages'!$E$18</f>
        <v>2741.0852520099979</v>
      </c>
      <c r="AF71" s="59">
        <f t="shared" si="16"/>
        <v>13921.97997408704</v>
      </c>
      <c r="AG71" s="65">
        <f t="shared" si="17"/>
        <v>11930.1</v>
      </c>
      <c r="AH71" s="64">
        <f>IF($AL71&gt;$AF71,$AL71*(1+'Factors &amp; Percentages'!$B$3),
IF($AF71&gt;$AG71,$AG71,
IF($AF71&gt;$BOJ71,$AF71,
$AL71*(1+'Factors &amp; Percentages'!$B$3))))</f>
        <v>11930.1</v>
      </c>
      <c r="AI71" s="64">
        <f>IF(+MIN(AH71,+X71*2*AK$1)-(AL71*(1+'Factors &amp; Percentages'!B$3))&gt;0,0,+MIN(AH71,+X71*2*AK$1)-(AL71*(1+'Factors &amp; Percentages'!B$3)))</f>
        <v>0</v>
      </c>
      <c r="AJ71" s="64">
        <f t="shared" si="13"/>
        <v>11930.1</v>
      </c>
      <c r="AK71" s="65"/>
      <c r="AL71" s="66">
        <v>2500</v>
      </c>
    </row>
    <row r="72" spans="1:38" x14ac:dyDescent="0.25">
      <c r="A72" s="39">
        <v>130005</v>
      </c>
      <c r="B72" s="40" t="s">
        <v>295</v>
      </c>
      <c r="C72" s="40" t="s">
        <v>295</v>
      </c>
      <c r="D72" s="69" t="s">
        <v>47</v>
      </c>
      <c r="E72" s="42" t="s">
        <v>357</v>
      </c>
      <c r="F72" s="42" t="s">
        <v>256</v>
      </c>
      <c r="G72" s="26">
        <f t="shared" si="12"/>
        <v>54114.177494425719</v>
      </c>
      <c r="H72" s="26">
        <v>52087.748366604574</v>
      </c>
      <c r="I72" s="43">
        <v>107859</v>
      </c>
      <c r="J72" s="43">
        <v>87344</v>
      </c>
      <c r="K72" s="44">
        <v>79862</v>
      </c>
      <c r="L72" s="43">
        <v>69281</v>
      </c>
      <c r="M72" s="44">
        <v>41485</v>
      </c>
      <c r="N72" s="44">
        <v>33137</v>
      </c>
      <c r="O72" s="43">
        <v>0</v>
      </c>
      <c r="P72" s="44">
        <v>5832</v>
      </c>
      <c r="Q72" s="44">
        <v>438771</v>
      </c>
      <c r="R72" s="43">
        <f>+S72</f>
        <v>42520</v>
      </c>
      <c r="S72" s="44">
        <v>42520</v>
      </c>
      <c r="T72" s="44">
        <v>33798</v>
      </c>
      <c r="U72" s="45">
        <f t="shared" si="14"/>
        <v>112111</v>
      </c>
      <c r="V72" s="45">
        <f t="shared" si="15"/>
        <v>69281</v>
      </c>
      <c r="W72" s="45">
        <f>SUM(U72*'Factors &amp; Percentages'!$E$6+V72*'Factors &amp; Percentages'!$E$7)</f>
        <v>15515.830491394319</v>
      </c>
      <c r="X72" s="46">
        <v>1</v>
      </c>
      <c r="Y72" s="45">
        <f>X72*'Factors &amp; Percentages'!$E$10</f>
        <v>14160.96928630961</v>
      </c>
      <c r="Z72" s="47">
        <v>5.8297140525257231E-2</v>
      </c>
      <c r="AA72" s="45">
        <f>+'Factors &amp; Percentages'!E$13*Z72</f>
        <v>9716.6264199108391</v>
      </c>
      <c r="AB72" s="48">
        <v>75</v>
      </c>
      <c r="AC72" s="49">
        <v>106</v>
      </c>
      <c r="AD72" s="50">
        <v>8925</v>
      </c>
      <c r="AE72" s="45">
        <f>AB72*'Factors &amp; Percentages'!$E$16+AC72*'Factors &amp; Percentages'!$E$17+AD72*'Factors &amp; Percentages'!$E$18</f>
        <v>14720.751296810955</v>
      </c>
      <c r="AF72" s="45">
        <f t="shared" si="16"/>
        <v>54114.177494425719</v>
      </c>
      <c r="AG72" s="51">
        <f t="shared" si="17"/>
        <v>54114.177494425719</v>
      </c>
      <c r="AH72" s="26">
        <f>IF($AL72&gt;$AF72,$AL72*(1+'Factors &amp; Percentages'!$B$3),
IF($AF72&gt;$AG72,$AG72,
IF($AF72&gt;$BOJ72,$AF72,
$AL72*(1+'Factors &amp; Percentages'!$B$3))))</f>
        <v>54114.177494425719</v>
      </c>
      <c r="AI72" s="26">
        <f>IF(+MIN(AH72,+X72*2*AK$1)-(AL72*(1+'Factors &amp; Percentages'!B$3))&gt;0,0,+MIN(AH72,+X72*2*AK$1)-(AL72*(1+'Factors &amp; Percentages'!B$3)))</f>
        <v>0</v>
      </c>
      <c r="AJ72" s="26">
        <f t="shared" si="13"/>
        <v>54114.177494425719</v>
      </c>
      <c r="AK72" s="51"/>
      <c r="AL72" s="52">
        <v>45000</v>
      </c>
    </row>
    <row r="73" spans="1:38" x14ac:dyDescent="0.25">
      <c r="A73" s="53">
        <v>130062</v>
      </c>
      <c r="B73" s="54" t="s">
        <v>400</v>
      </c>
      <c r="C73" s="54" t="s">
        <v>110</v>
      </c>
      <c r="D73" s="55" t="s">
        <v>110</v>
      </c>
      <c r="E73" s="56" t="s">
        <v>357</v>
      </c>
      <c r="F73" s="56" t="s">
        <v>359</v>
      </c>
      <c r="G73" s="64">
        <f t="shared" si="12"/>
        <v>9590.3070384632811</v>
      </c>
      <c r="H73" s="64">
        <v>6176.9712735403609</v>
      </c>
      <c r="I73" s="57">
        <v>15867</v>
      </c>
      <c r="J73" s="57">
        <v>15897</v>
      </c>
      <c r="K73" s="58">
        <v>12494</v>
      </c>
      <c r="L73" s="57">
        <v>4226</v>
      </c>
      <c r="M73" s="58">
        <v>2876</v>
      </c>
      <c r="N73" s="58">
        <v>1769</v>
      </c>
      <c r="O73" s="57">
        <v>0</v>
      </c>
      <c r="P73" s="58">
        <v>0</v>
      </c>
      <c r="Q73" s="58">
        <v>2000</v>
      </c>
      <c r="R73" s="57">
        <v>0</v>
      </c>
      <c r="S73" s="58">
        <v>0</v>
      </c>
      <c r="T73" s="58">
        <v>5500</v>
      </c>
      <c r="U73" s="59">
        <f t="shared" si="14"/>
        <v>15867</v>
      </c>
      <c r="V73" s="59">
        <f t="shared" si="15"/>
        <v>4226</v>
      </c>
      <c r="W73" s="59">
        <f>SUM(U73*'Factors &amp; Percentages'!$E$6+V73*'Factors &amp; Percentages'!$E$7)</f>
        <v>1804.5106720262877</v>
      </c>
      <c r="X73" s="60">
        <v>0.1</v>
      </c>
      <c r="Y73" s="59">
        <f>X73*'Factors &amp; Percentages'!$E$10</f>
        <v>1416.096928630961</v>
      </c>
      <c r="Z73" s="61">
        <v>1.7533247420420974E-2</v>
      </c>
      <c r="AA73" s="59">
        <f>+'Factors &amp; Percentages'!E$13*Z73</f>
        <v>2922.3391332253386</v>
      </c>
      <c r="AB73" s="62">
        <v>17</v>
      </c>
      <c r="AC73" s="85">
        <v>22</v>
      </c>
      <c r="AD73" s="63">
        <v>2760</v>
      </c>
      <c r="AE73" s="59">
        <f>AB73*'Factors &amp; Percentages'!$E$16+AC73*'Factors &amp; Percentages'!$E$17+AD73*'Factors &amp; Percentages'!$E$18</f>
        <v>3447.3603045806931</v>
      </c>
      <c r="AF73" s="59">
        <f t="shared" si="16"/>
        <v>9590.3070384632811</v>
      </c>
      <c r="AG73" s="65">
        <f t="shared" si="17"/>
        <v>9590.3070384632811</v>
      </c>
      <c r="AH73" s="64">
        <f>IF($AL73&gt;$AF73,$AL73*(1+'Factors &amp; Percentages'!$B$3),
IF($AF73&gt;$AG73,$AG73,
IF($AF73&gt;$BOJ73,$AF73,
$AL73*(1+'Factors &amp; Percentages'!$B$3))))</f>
        <v>9590.3070384632811</v>
      </c>
      <c r="AI73" s="64">
        <f>IF(+MIN(AH73,+X73*2*AK$1)-(AL73*(1+'Factors &amp; Percentages'!B$3))&gt;0,0,+MIN(AH73,+X73*2*AK$1)-(AL73*(1+'Factors &amp; Percentages'!B$3)))</f>
        <v>0</v>
      </c>
      <c r="AJ73" s="64">
        <f t="shared" si="13"/>
        <v>9590.3070384632811</v>
      </c>
      <c r="AK73" s="65"/>
      <c r="AL73" s="66">
        <v>4800</v>
      </c>
    </row>
    <row r="74" spans="1:38" hidden="1" x14ac:dyDescent="0.25">
      <c r="A74" s="39">
        <v>130215</v>
      </c>
      <c r="B74" s="40" t="s">
        <v>401</v>
      </c>
      <c r="C74" s="40" t="s">
        <v>35</v>
      </c>
      <c r="D74" s="41" t="s">
        <v>35</v>
      </c>
      <c r="E74" s="42" t="s">
        <v>237</v>
      </c>
      <c r="F74" s="42" t="s">
        <v>239</v>
      </c>
      <c r="G74" s="26">
        <f t="shared" si="12"/>
        <v>10697.728518867245</v>
      </c>
      <c r="H74" s="26">
        <v>10374.980646689892</v>
      </c>
      <c r="I74" s="43">
        <v>5107</v>
      </c>
      <c r="J74" s="43">
        <v>4158</v>
      </c>
      <c r="K74" s="44">
        <v>5963</v>
      </c>
      <c r="L74" s="43">
        <v>14836</v>
      </c>
      <c r="M74" s="44">
        <v>14085</v>
      </c>
      <c r="N74" s="44">
        <v>15011</v>
      </c>
      <c r="O74" s="43">
        <v>26085</v>
      </c>
      <c r="P74" s="44">
        <v>25033</v>
      </c>
      <c r="Q74" s="44">
        <v>23761</v>
      </c>
      <c r="R74" s="43">
        <v>987</v>
      </c>
      <c r="S74" s="44">
        <v>1272</v>
      </c>
      <c r="T74" s="44">
        <v>661</v>
      </c>
      <c r="U74" s="45">
        <f t="shared" si="14"/>
        <v>5205.7</v>
      </c>
      <c r="V74" s="45">
        <f t="shared" si="15"/>
        <v>17444.5</v>
      </c>
      <c r="W74" s="45">
        <f>SUM(U74*'Factors &amp; Percentages'!$E$6+V74*'Factors &amp; Percentages'!$E$7)</f>
        <v>1718.6368003924645</v>
      </c>
      <c r="X74" s="46">
        <v>0.06</v>
      </c>
      <c r="Y74" s="45">
        <f>X74*'Factors &amp; Percentages'!$E$10</f>
        <v>849.65815717857652</v>
      </c>
      <c r="Z74" s="47">
        <v>3.9813672014969936E-2</v>
      </c>
      <c r="AA74" s="45">
        <f>+'Factors &amp; Percentages'!E$13*Z74</f>
        <v>6635.9099929904269</v>
      </c>
      <c r="AB74" s="48">
        <v>9</v>
      </c>
      <c r="AC74" s="49">
        <v>10</v>
      </c>
      <c r="AD74" s="50">
        <v>143</v>
      </c>
      <c r="AE74" s="45">
        <f>AB74*'Factors &amp; Percentages'!$E$16+AC74*'Factors &amp; Percentages'!$E$17+AD74*'Factors &amp; Percentages'!$E$18</f>
        <v>1493.5235683057788</v>
      </c>
      <c r="AF74" s="45">
        <f t="shared" si="16"/>
        <v>10697.728518867245</v>
      </c>
      <c r="AG74" s="51">
        <f t="shared" si="17"/>
        <v>10697.728518867245</v>
      </c>
      <c r="AH74" s="26">
        <f>IF($AL74&gt;$AF74,$AL74*(1+'Factors &amp; Percentages'!$B$3),
IF($AF74&gt;$AG74,$AG74,
IF($AF74&gt;$BOJ74,$AF74,
$AL74*(1+'Factors &amp; Percentages'!$B$3))))</f>
        <v>10697.728518867245</v>
      </c>
      <c r="AI74" s="26">
        <f>IF(+MIN(AH74,+X74*2*AK$1)-(AL74*(1+'Factors &amp; Percentages'!B$3))&gt;0,0,+MIN(AH74,+X74*2*AK$1)-(AL74*(1+'Factors &amp; Percentages'!B$3)))</f>
        <v>0</v>
      </c>
      <c r="AJ74" s="26">
        <f t="shared" si="13"/>
        <v>10697.728518867245</v>
      </c>
      <c r="AK74" s="51"/>
      <c r="AL74" s="52">
        <v>1770</v>
      </c>
    </row>
    <row r="75" spans="1:38" hidden="1" x14ac:dyDescent="0.25">
      <c r="A75" s="53">
        <v>130216</v>
      </c>
      <c r="B75" s="54" t="s">
        <v>36</v>
      </c>
      <c r="C75" s="54" t="s">
        <v>36</v>
      </c>
      <c r="D75" s="55" t="s">
        <v>36</v>
      </c>
      <c r="E75" s="56" t="s">
        <v>237</v>
      </c>
      <c r="F75" s="56" t="s">
        <v>239</v>
      </c>
      <c r="G75" s="64">
        <f t="shared" si="12"/>
        <v>24519.364936281425</v>
      </c>
      <c r="H75" s="64">
        <v>32413.092602751</v>
      </c>
      <c r="I75" s="57">
        <v>51999</v>
      </c>
      <c r="J75" s="57">
        <v>53550</v>
      </c>
      <c r="K75" s="58">
        <v>54635</v>
      </c>
      <c r="L75" s="57">
        <v>5478</v>
      </c>
      <c r="M75" s="58">
        <v>6742</v>
      </c>
      <c r="N75" s="58">
        <v>14286</v>
      </c>
      <c r="O75" s="57">
        <v>43555</v>
      </c>
      <c r="P75" s="58">
        <v>43994</v>
      </c>
      <c r="Q75" s="58">
        <v>60252</v>
      </c>
      <c r="R75" s="57">
        <v>1881</v>
      </c>
      <c r="S75" s="58">
        <v>314</v>
      </c>
      <c r="T75" s="58">
        <v>3807</v>
      </c>
      <c r="U75" s="59">
        <f t="shared" si="14"/>
        <v>52187.1</v>
      </c>
      <c r="V75" s="59">
        <f t="shared" si="15"/>
        <v>9833.5</v>
      </c>
      <c r="W75" s="59">
        <f>SUM(U75*'Factors &amp; Percentages'!$E$6+V75*'Factors &amp; Percentages'!$E$7)</f>
        <v>5649.8351820969428</v>
      </c>
      <c r="X75" s="60">
        <v>0.25</v>
      </c>
      <c r="Y75" s="59">
        <f>X75*'Factors &amp; Percentages'!$E$10</f>
        <v>3540.2423215774024</v>
      </c>
      <c r="Z75" s="61">
        <v>5.9733231388618434E-2</v>
      </c>
      <c r="AA75" s="59">
        <f>+'Factors &amp; Percentages'!E$13*Z75</f>
        <v>9955.9856457425485</v>
      </c>
      <c r="AB75" s="62">
        <v>25</v>
      </c>
      <c r="AC75" s="85">
        <v>68</v>
      </c>
      <c r="AD75" s="63">
        <v>1330</v>
      </c>
      <c r="AE75" s="59">
        <f>AB75*'Factors &amp; Percentages'!$E$16+AC75*'Factors &amp; Percentages'!$E$17+AD75*'Factors &amp; Percentages'!$E$18</f>
        <v>5373.3017868645347</v>
      </c>
      <c r="AF75" s="59">
        <f t="shared" si="16"/>
        <v>24519.364936281425</v>
      </c>
      <c r="AG75" s="65">
        <f t="shared" si="17"/>
        <v>24519.364936281425</v>
      </c>
      <c r="AH75" s="64">
        <f>IF($AL75&gt;$AF75,$AL75*(1+'Factors &amp; Percentages'!$B$3),
IF($AF75&gt;$AG75,$AG75,
IF($AF75&gt;$BOJ75,$AF75,
$AL75*(1+'Factors &amp; Percentages'!$B$3))))</f>
        <v>24519.364936281425</v>
      </c>
      <c r="AI75" s="64">
        <f>IF(+MIN(AH75,+X75*2*AK$1)-(AL75*(1+'Factors &amp; Percentages'!B$3))&gt;0,0,+MIN(AH75,+X75*2*AK$1)-(AL75*(1+'Factors &amp; Percentages'!B$3)))</f>
        <v>0</v>
      </c>
      <c r="AJ75" s="64">
        <f t="shared" si="13"/>
        <v>24519.364936281425</v>
      </c>
      <c r="AK75" s="65"/>
      <c r="AL75" s="66">
        <v>16500</v>
      </c>
    </row>
    <row r="76" spans="1:38" x14ac:dyDescent="0.25">
      <c r="A76" s="39">
        <v>130071</v>
      </c>
      <c r="B76" s="40" t="s">
        <v>107</v>
      </c>
      <c r="C76" s="40" t="s">
        <v>296</v>
      </c>
      <c r="D76" s="41" t="s">
        <v>107</v>
      </c>
      <c r="E76" s="42" t="s">
        <v>357</v>
      </c>
      <c r="F76" s="42" t="s">
        <v>359</v>
      </c>
      <c r="G76" s="26">
        <f t="shared" si="12"/>
        <v>27892.15</v>
      </c>
      <c r="H76" s="26">
        <v>24406.43080486602</v>
      </c>
      <c r="I76" s="43">
        <v>42911</v>
      </c>
      <c r="J76" s="43">
        <v>40144</v>
      </c>
      <c r="K76" s="44">
        <v>35121</v>
      </c>
      <c r="L76" s="43">
        <v>12404</v>
      </c>
      <c r="M76" s="44">
        <v>13477</v>
      </c>
      <c r="N76" s="44">
        <v>7767</v>
      </c>
      <c r="O76" s="43">
        <v>40277</v>
      </c>
      <c r="P76" s="44">
        <v>37477</v>
      </c>
      <c r="Q76" s="44">
        <v>9157</v>
      </c>
      <c r="R76" s="43">
        <v>2837</v>
      </c>
      <c r="S76" s="44">
        <v>6087</v>
      </c>
      <c r="T76" s="44">
        <v>19617</v>
      </c>
      <c r="U76" s="45">
        <f t="shared" si="14"/>
        <v>43194.7</v>
      </c>
      <c r="V76" s="45">
        <f t="shared" si="15"/>
        <v>16431.7</v>
      </c>
      <c r="W76" s="45">
        <f>SUM(U76*'Factors &amp; Percentages'!$E$6+V76*'Factors &amp; Percentages'!$E$7)</f>
        <v>5258.1053994586573</v>
      </c>
      <c r="X76" s="46">
        <v>1</v>
      </c>
      <c r="Y76" s="45">
        <f>X76*'Factors &amp; Percentages'!$E$10</f>
        <v>14160.96928630961</v>
      </c>
      <c r="Z76" s="47">
        <v>2.5773594437027376E-2</v>
      </c>
      <c r="AA76" s="45">
        <f>+'Factors &amp; Percentages'!E$13*Z76</f>
        <v>4295.7919785857666</v>
      </c>
      <c r="AB76" s="48">
        <v>18</v>
      </c>
      <c r="AC76" s="49">
        <v>26</v>
      </c>
      <c r="AD76" s="50">
        <v>10364</v>
      </c>
      <c r="AE76" s="45">
        <f>AB76*'Factors &amp; Percentages'!$E$16+AC76*'Factors &amp; Percentages'!$E$17+AD76*'Factors &amp; Percentages'!$E$18</f>
        <v>5354.7738512794858</v>
      </c>
      <c r="AF76" s="45">
        <f t="shared" si="16"/>
        <v>29069.64051563352</v>
      </c>
      <c r="AG76" s="51">
        <f t="shared" si="17"/>
        <v>27892.15</v>
      </c>
      <c r="AH76" s="26">
        <f>IF($AL76&gt;$AF76,$AL76*(1+'Factors &amp; Percentages'!$B$3),
IF($AF76&gt;$AG76,$AG76,
IF($AF76&gt;$BOJ76,$AF76,
$AL76*(1+'Factors &amp; Percentages'!$B$3))))</f>
        <v>27892.15</v>
      </c>
      <c r="AI76" s="26">
        <f>IF(+MIN(AH76,+X76*2*AK$1)-(AL76*(1+'Factors &amp; Percentages'!B$3))&gt;0,0,+MIN(AH76,+X76*2*AK$1)-(AL76*(1+'Factors &amp; Percentages'!B$3)))</f>
        <v>0</v>
      </c>
      <c r="AJ76" s="26">
        <f t="shared" si="13"/>
        <v>27892.15</v>
      </c>
      <c r="AK76" s="51"/>
      <c r="AL76" s="52">
        <v>17000</v>
      </c>
    </row>
    <row r="77" spans="1:38" x14ac:dyDescent="0.25">
      <c r="A77" s="53">
        <v>130067</v>
      </c>
      <c r="B77" s="54" t="s">
        <v>111</v>
      </c>
      <c r="C77" s="54" t="s">
        <v>111</v>
      </c>
      <c r="D77" s="55" t="s">
        <v>111</v>
      </c>
      <c r="E77" s="56" t="s">
        <v>357</v>
      </c>
      <c r="F77" s="56" t="s">
        <v>359</v>
      </c>
      <c r="G77" s="64">
        <f t="shared" si="12"/>
        <v>18969.600000000002</v>
      </c>
      <c r="H77" s="64">
        <v>19224.281593087901</v>
      </c>
      <c r="I77" s="57">
        <v>29184</v>
      </c>
      <c r="J77" s="57">
        <v>35657</v>
      </c>
      <c r="K77" s="58">
        <v>34491</v>
      </c>
      <c r="L77" s="57">
        <v>27314</v>
      </c>
      <c r="M77" s="58">
        <v>13692</v>
      </c>
      <c r="N77" s="58">
        <v>10964</v>
      </c>
      <c r="O77" s="57">
        <v>10423</v>
      </c>
      <c r="P77" s="58">
        <v>96</v>
      </c>
      <c r="Q77" s="58">
        <v>0</v>
      </c>
      <c r="R77" s="57">
        <v>26193</v>
      </c>
      <c r="S77" s="58">
        <v>0</v>
      </c>
      <c r="T77" s="58">
        <v>0</v>
      </c>
      <c r="U77" s="59">
        <f t="shared" si="14"/>
        <v>31803.3</v>
      </c>
      <c r="V77" s="59">
        <f t="shared" si="15"/>
        <v>28356.3</v>
      </c>
      <c r="W77" s="59">
        <f>SUM(U77*'Factors &amp; Percentages'!$E$6+V77*'Factors &amp; Percentages'!$E$7)</f>
        <v>5012.0637546528251</v>
      </c>
      <c r="X77" s="60">
        <v>0.5</v>
      </c>
      <c r="Y77" s="59">
        <f>X77*'Factors &amp; Percentages'!$E$10</f>
        <v>7080.4846431548049</v>
      </c>
      <c r="Z77" s="61">
        <v>3.4021821596371911E-2</v>
      </c>
      <c r="AA77" s="59">
        <f>+'Factors &amp; Percentages'!E$13*Z77</f>
        <v>5670.5582400491467</v>
      </c>
      <c r="AB77" s="62">
        <v>23</v>
      </c>
      <c r="AC77" s="85">
        <v>32</v>
      </c>
      <c r="AD77" s="63">
        <v>9409</v>
      </c>
      <c r="AE77" s="59">
        <f>AB77*'Factors &amp; Percentages'!$E$16+AC77*'Factors &amp; Percentages'!$E$17+AD77*'Factors &amp; Percentages'!$E$18</f>
        <v>5968.3533713302595</v>
      </c>
      <c r="AF77" s="59">
        <f t="shared" si="16"/>
        <v>23731.460009187038</v>
      </c>
      <c r="AG77" s="65">
        <f t="shared" si="17"/>
        <v>18969.600000000002</v>
      </c>
      <c r="AH77" s="64">
        <f>IF($AL77&gt;$AF77,$AL77*(1+'Factors &amp; Percentages'!$B$3),
IF($AF77&gt;$AG77,$AG77,
IF($AF77&gt;$BOJ77,$AF77,
$AL77*(1+'Factors &amp; Percentages'!$B$3))))</f>
        <v>18969.600000000002</v>
      </c>
      <c r="AI77" s="64">
        <f>IF(+MIN(AH77,+X77*2*AK$1)-(AL77*(1+'Factors &amp; Percentages'!B$3))&gt;0,0,+MIN(AH77,+X77*2*AK$1)-(AL77*(1+'Factors &amp; Percentages'!B$3)))</f>
        <v>0</v>
      </c>
      <c r="AJ77" s="64">
        <f t="shared" si="13"/>
        <v>18969.600000000002</v>
      </c>
      <c r="AK77" s="65"/>
      <c r="AL77" s="66">
        <v>15000</v>
      </c>
    </row>
    <row r="78" spans="1:38" x14ac:dyDescent="0.25">
      <c r="A78" s="39">
        <v>130069</v>
      </c>
      <c r="B78" s="40" t="s">
        <v>402</v>
      </c>
      <c r="C78" s="40" t="s">
        <v>297</v>
      </c>
      <c r="D78" s="41" t="s">
        <v>458</v>
      </c>
      <c r="E78" s="42" t="s">
        <v>357</v>
      </c>
      <c r="F78" s="42" t="s">
        <v>359</v>
      </c>
      <c r="G78" s="26">
        <f t="shared" si="12"/>
        <v>98922.749115981598</v>
      </c>
      <c r="H78" s="26">
        <v>74864.381230370534</v>
      </c>
      <c r="I78" s="43">
        <v>311098</v>
      </c>
      <c r="J78" s="43">
        <v>350557</v>
      </c>
      <c r="K78" s="44">
        <v>306037</v>
      </c>
      <c r="L78" s="43">
        <v>50724</v>
      </c>
      <c r="M78" s="44">
        <v>-1680</v>
      </c>
      <c r="N78" s="44">
        <v>25152</v>
      </c>
      <c r="O78" s="43">
        <v>39393</v>
      </c>
      <c r="P78" s="44">
        <v>110008</v>
      </c>
      <c r="Q78" s="44">
        <v>97337</v>
      </c>
      <c r="R78" s="43">
        <v>660</v>
      </c>
      <c r="S78" s="44">
        <v>78088</v>
      </c>
      <c r="T78" s="44">
        <v>4132</v>
      </c>
      <c r="U78" s="45">
        <f t="shared" si="14"/>
        <v>311164</v>
      </c>
      <c r="V78" s="45">
        <f t="shared" si="15"/>
        <v>54663.3</v>
      </c>
      <c r="W78" s="45">
        <f>SUM(U78*'Factors &amp; Percentages'!$E$6+V78*'Factors &amp; Percentages'!$E$7)</f>
        <v>33408.536568631862</v>
      </c>
      <c r="X78" s="46">
        <v>2</v>
      </c>
      <c r="Y78" s="45">
        <f>X78*'Factors &amp; Percentages'!$E$10</f>
        <v>28321.938572619219</v>
      </c>
      <c r="Z78" s="47">
        <v>2.5281509609501804E-2</v>
      </c>
      <c r="AA78" s="45">
        <f>+'Factors &amp; Percentages'!E$13*Z78</f>
        <v>4213.774157593316</v>
      </c>
      <c r="AB78" s="48">
        <v>220</v>
      </c>
      <c r="AC78" s="49">
        <v>86</v>
      </c>
      <c r="AD78" s="50">
        <v>5708</v>
      </c>
      <c r="AE78" s="45">
        <f>AB78*'Factors &amp; Percentages'!$E$16+AC78*'Factors &amp; Percentages'!$E$17+AD78*'Factors &amp; Percentages'!$E$18</f>
        <v>32978.499817137192</v>
      </c>
      <c r="AF78" s="45">
        <f t="shared" si="16"/>
        <v>98922.749115981598</v>
      </c>
      <c r="AG78" s="51">
        <f t="shared" si="17"/>
        <v>98922.749115981598</v>
      </c>
      <c r="AH78" s="26">
        <f>IF($AL78&gt;$AF78,$AL78*(1+'Factors &amp; Percentages'!$B$3),
IF($AF78&gt;$AG78,$AG78,
IF($AF78&gt;$BOJ78,$AF78,
$AL78*(1+'Factors &amp; Percentages'!$B$3))))</f>
        <v>98922.749115981598</v>
      </c>
      <c r="AI78" s="26">
        <f>IF(+MIN(AH78,+X78*2*AK$1)-(AL78*(1+'Factors &amp; Percentages'!B$3))&gt;0,0,+MIN(AH78,+X78*2*AK$1)-(AL78*(1+'Factors &amp; Percentages'!B$3)))</f>
        <v>0</v>
      </c>
      <c r="AJ78" s="26">
        <f t="shared" si="13"/>
        <v>98922.749115981598</v>
      </c>
      <c r="AK78" s="51"/>
      <c r="AL78" s="52">
        <v>50000</v>
      </c>
    </row>
    <row r="79" spans="1:38" x14ac:dyDescent="0.25">
      <c r="A79" s="53">
        <v>130068</v>
      </c>
      <c r="B79" s="54" t="s">
        <v>403</v>
      </c>
      <c r="C79" s="54" t="s">
        <v>298</v>
      </c>
      <c r="D79" s="55" t="s">
        <v>112</v>
      </c>
      <c r="E79" s="56" t="s">
        <v>357</v>
      </c>
      <c r="F79" s="56" t="s">
        <v>359</v>
      </c>
      <c r="G79" s="64">
        <f t="shared" si="12"/>
        <v>27834.3</v>
      </c>
      <c r="H79" s="64">
        <v>32672.25</v>
      </c>
      <c r="I79" s="57">
        <v>42822</v>
      </c>
      <c r="J79" s="57">
        <v>50265</v>
      </c>
      <c r="K79" s="58">
        <v>45400</v>
      </c>
      <c r="L79" s="57">
        <v>13457</v>
      </c>
      <c r="M79" s="58">
        <v>12408</v>
      </c>
      <c r="N79" s="58">
        <v>12194</v>
      </c>
      <c r="O79" s="57">
        <v>47154</v>
      </c>
      <c r="P79" s="58">
        <v>21971</v>
      </c>
      <c r="Q79" s="58">
        <v>12103</v>
      </c>
      <c r="R79" s="57">
        <v>2685</v>
      </c>
      <c r="S79" s="58">
        <v>8274</v>
      </c>
      <c r="T79" s="58">
        <v>9527</v>
      </c>
      <c r="U79" s="59">
        <f t="shared" si="14"/>
        <v>43090.5</v>
      </c>
      <c r="V79" s="59">
        <f t="shared" si="15"/>
        <v>18172.400000000001</v>
      </c>
      <c r="W79" s="59">
        <f>SUM(U79*'Factors &amp; Percentages'!$E$6+V79*'Factors &amp; Percentages'!$E$7)</f>
        <v>5370.3270124597038</v>
      </c>
      <c r="X79" s="60">
        <v>1</v>
      </c>
      <c r="Y79" s="59">
        <f>X79*'Factors &amp; Percentages'!$E$10</f>
        <v>14160.96928630961</v>
      </c>
      <c r="Z79" s="61">
        <v>0.10496924401150463</v>
      </c>
      <c r="AA79" s="59">
        <f>+'Factors &amp; Percentages'!E$13*Z79</f>
        <v>17495.659657584089</v>
      </c>
      <c r="AB79" s="62">
        <v>26</v>
      </c>
      <c r="AC79" s="85">
        <v>46</v>
      </c>
      <c r="AD79" s="63">
        <v>5260</v>
      </c>
      <c r="AE79" s="59">
        <f>AB79*'Factors &amp; Percentages'!$E$16+AC79*'Factors &amp; Percentages'!$E$17+AD79*'Factors &amp; Percentages'!$E$18</f>
        <v>5813.9407200730166</v>
      </c>
      <c r="AF79" s="59">
        <f t="shared" si="16"/>
        <v>42840.896676426419</v>
      </c>
      <c r="AG79" s="65">
        <f t="shared" si="17"/>
        <v>27834.3</v>
      </c>
      <c r="AH79" s="64">
        <f>IF($AL79&gt;$AF79,$AL79*(1+'Factors &amp; Percentages'!$B$3),
IF($AF79&gt;$AG79,$AG79,
IF($AF79&gt;$BOJ79,$AF79,
$AL79*(1+'Factors &amp; Percentages'!$B$3))))</f>
        <v>27834.3</v>
      </c>
      <c r="AI79" s="64">
        <f>IF(+MIN(AH79,+X79*2*AK$1)-(AL79*(1+'Factors &amp; Percentages'!B$3))&gt;0,0,+MIN(AH79,+X79*2*AK$1)-(AL79*(1+'Factors &amp; Percentages'!B$3)))</f>
        <v>0</v>
      </c>
      <c r="AJ79" s="64">
        <f t="shared" si="13"/>
        <v>27834.3</v>
      </c>
      <c r="AK79" s="65"/>
      <c r="AL79" s="66">
        <v>17000</v>
      </c>
    </row>
    <row r="80" spans="1:38" x14ac:dyDescent="0.25">
      <c r="A80" s="39">
        <v>130166</v>
      </c>
      <c r="B80" s="40" t="s">
        <v>404</v>
      </c>
      <c r="C80" s="40" t="s">
        <v>299</v>
      </c>
      <c r="D80" s="41" t="s">
        <v>193</v>
      </c>
      <c r="E80" s="42" t="s">
        <v>357</v>
      </c>
      <c r="F80" s="42" t="s">
        <v>249</v>
      </c>
      <c r="G80" s="26">
        <f t="shared" si="12"/>
        <v>38737.968451356908</v>
      </c>
      <c r="H80" s="26">
        <v>28332.15</v>
      </c>
      <c r="I80" s="43">
        <v>41655</v>
      </c>
      <c r="J80" s="43">
        <v>37244</v>
      </c>
      <c r="K80" s="44">
        <v>34416</v>
      </c>
      <c r="L80" s="43">
        <v>67651</v>
      </c>
      <c r="M80" s="44">
        <v>30388</v>
      </c>
      <c r="N80" s="44">
        <v>35757</v>
      </c>
      <c r="O80" s="43">
        <v>65752</v>
      </c>
      <c r="P80" s="44">
        <v>74895</v>
      </c>
      <c r="Q80" s="44">
        <v>74895</v>
      </c>
      <c r="R80" s="43">
        <v>2274</v>
      </c>
      <c r="S80" s="44">
        <v>0</v>
      </c>
      <c r="T80" s="44">
        <v>1880</v>
      </c>
      <c r="U80" s="45">
        <f t="shared" si="14"/>
        <v>41882.400000000001</v>
      </c>
      <c r="V80" s="45">
        <f t="shared" si="15"/>
        <v>74226.2</v>
      </c>
      <c r="W80" s="45">
        <f>SUM(U80*'Factors &amp; Percentages'!$E$6+V80*'Factors &amp; Percentages'!$E$7)</f>
        <v>9188.1587121543853</v>
      </c>
      <c r="X80" s="46">
        <v>1</v>
      </c>
      <c r="Y80" s="45">
        <f>X80*'Factors &amp; Percentages'!$E$10</f>
        <v>14160.96928630961</v>
      </c>
      <c r="Z80" s="47">
        <v>3.2792906238522483E-2</v>
      </c>
      <c r="AA80" s="45">
        <f>+'Factors &amp; Percentages'!E$13*Z80</f>
        <v>5465.7298157675041</v>
      </c>
      <c r="AB80" s="48">
        <v>50</v>
      </c>
      <c r="AC80" s="49">
        <v>63</v>
      </c>
      <c r="AD80" s="50">
        <v>7331</v>
      </c>
      <c r="AE80" s="45">
        <f>AB80*'Factors &amp; Percentages'!$E$16+AC80*'Factors &amp; Percentages'!$E$17+AD80*'Factors &amp; Percentages'!$E$18</f>
        <v>9923.1106371254118</v>
      </c>
      <c r="AF80" s="45">
        <f t="shared" si="16"/>
        <v>38737.968451356908</v>
      </c>
      <c r="AG80" s="51">
        <f t="shared" si="17"/>
        <v>38737.968451356908</v>
      </c>
      <c r="AH80" s="26">
        <f>IF($AL80&gt;$AF80,$AL80*(1+'Factors &amp; Percentages'!$B$3),
IF($AF80&gt;$AG80,$AG80,
IF($AF80&gt;$BOJ80,$AF80,
$AL80*(1+'Factors &amp; Percentages'!$B$3))))</f>
        <v>38737.968451356908</v>
      </c>
      <c r="AI80" s="26">
        <f>IF(+MIN(AH80,+X80*2*AK$1)-(AL80*(1+'Factors &amp; Percentages'!B$3))&gt;0,0,+MIN(AH80,+X80*2*AK$1)-(AL80*(1+'Factors &amp; Percentages'!B$3)))</f>
        <v>0</v>
      </c>
      <c r="AJ80" s="26">
        <f t="shared" si="13"/>
        <v>38737.968451356908</v>
      </c>
      <c r="AK80" s="51"/>
      <c r="AL80" s="52">
        <v>28332</v>
      </c>
    </row>
    <row r="81" spans="1:38" hidden="1" x14ac:dyDescent="0.25">
      <c r="A81" s="53">
        <v>130276</v>
      </c>
      <c r="B81" s="54" t="s">
        <v>16</v>
      </c>
      <c r="C81" s="54" t="s">
        <v>16</v>
      </c>
      <c r="D81" s="55" t="s">
        <v>16</v>
      </c>
      <c r="E81" s="56" t="s">
        <v>237</v>
      </c>
      <c r="F81" s="56" t="s">
        <v>237</v>
      </c>
      <c r="G81" s="64">
        <f t="shared" si="12"/>
        <v>59648.779121624088</v>
      </c>
      <c r="H81" s="64">
        <v>59430</v>
      </c>
      <c r="I81" s="57">
        <v>102712</v>
      </c>
      <c r="J81" s="57">
        <v>103918</v>
      </c>
      <c r="K81" s="58">
        <v>117304</v>
      </c>
      <c r="L81" s="57">
        <v>69318</v>
      </c>
      <c r="M81" s="58">
        <v>9686</v>
      </c>
      <c r="N81" s="58">
        <v>38340</v>
      </c>
      <c r="O81" s="57">
        <v>102529</v>
      </c>
      <c r="P81" s="58">
        <v>73649</v>
      </c>
      <c r="Q81" s="58">
        <v>73942</v>
      </c>
      <c r="R81" s="57">
        <v>15685</v>
      </c>
      <c r="S81" s="58">
        <v>33147</v>
      </c>
      <c r="T81" s="58">
        <v>18871</v>
      </c>
      <c r="U81" s="59">
        <f t="shared" si="14"/>
        <v>104280.5</v>
      </c>
      <c r="V81" s="59">
        <f t="shared" si="15"/>
        <v>79570.899999999994</v>
      </c>
      <c r="W81" s="59">
        <f>SUM(U81*'Factors &amp; Percentages'!$E$6+V81*'Factors &amp; Percentages'!$E$7)</f>
        <v>15493.533406003535</v>
      </c>
      <c r="X81" s="60">
        <v>2</v>
      </c>
      <c r="Y81" s="59">
        <f>X81*'Factors &amp; Percentages'!$E$10</f>
        <v>28321.938572619219</v>
      </c>
      <c r="Z81" s="61">
        <v>3.1221997770749358E-2</v>
      </c>
      <c r="AA81" s="59">
        <f>+'Factors &amp; Percentages'!E$13*Z81</f>
        <v>5203.8999801409536</v>
      </c>
      <c r="AB81" s="62">
        <v>14</v>
      </c>
      <c r="AC81" s="85">
        <v>118</v>
      </c>
      <c r="AD81" s="63">
        <v>26192</v>
      </c>
      <c r="AE81" s="59">
        <f>AB81*'Factors &amp; Percentages'!$E$16+AC81*'Factors &amp; Percentages'!$E$17+AD81*'Factors &amp; Percentages'!$E$18</f>
        <v>10629.407162860385</v>
      </c>
      <c r="AF81" s="59">
        <f t="shared" si="16"/>
        <v>59648.779121624088</v>
      </c>
      <c r="AG81" s="65">
        <f t="shared" si="17"/>
        <v>59648.779121624088</v>
      </c>
      <c r="AH81" s="64">
        <f>IF($AL81&gt;$AF81,$AL81*(1+'Factors &amp; Percentages'!$B$3),
IF($AF81&gt;$AG81,$AG81,
IF($AF81&gt;$BOJ81,$AF81,
$AL81*(1+'Factors &amp; Percentages'!$B$3))))</f>
        <v>59648.779121624088</v>
      </c>
      <c r="AI81" s="64">
        <f>IF(+MIN(AH81,+X81*2*AK$1)-(AL81*(1+'Factors &amp; Percentages'!B$3))&gt;0,0,+MIN(AH81,+X81*2*AK$1)-(AL81*(1+'Factors &amp; Percentages'!B$3)))</f>
        <v>0</v>
      </c>
      <c r="AJ81" s="64">
        <f t="shared" si="13"/>
        <v>59648.779121624088</v>
      </c>
      <c r="AK81" s="65"/>
      <c r="AL81" s="66">
        <v>46600</v>
      </c>
    </row>
    <row r="82" spans="1:38" ht="14.4" hidden="1" customHeight="1" x14ac:dyDescent="0.25">
      <c r="A82" s="39">
        <v>130251</v>
      </c>
      <c r="B82" s="40" t="s">
        <v>128</v>
      </c>
      <c r="C82" s="40" t="s">
        <v>128</v>
      </c>
      <c r="D82" s="41" t="s">
        <v>128</v>
      </c>
      <c r="E82" s="42" t="s">
        <v>237</v>
      </c>
      <c r="F82" s="42" t="s">
        <v>126</v>
      </c>
      <c r="G82" s="26">
        <f t="shared" si="12"/>
        <v>17360.850000000002</v>
      </c>
      <c r="H82" s="26">
        <v>16584.75</v>
      </c>
      <c r="I82" s="43">
        <v>26709</v>
      </c>
      <c r="J82" s="43">
        <v>25515</v>
      </c>
      <c r="K82" s="44">
        <v>24967</v>
      </c>
      <c r="L82" s="43">
        <v>13280</v>
      </c>
      <c r="M82" s="44">
        <v>14130</v>
      </c>
      <c r="N82" s="44">
        <v>36985</v>
      </c>
      <c r="O82" s="43">
        <v>36889</v>
      </c>
      <c r="P82" s="44">
        <v>45892</v>
      </c>
      <c r="Q82" s="44">
        <v>91876</v>
      </c>
      <c r="R82" s="43">
        <v>1182</v>
      </c>
      <c r="S82" s="44">
        <v>824</v>
      </c>
      <c r="T82" s="44">
        <v>2147</v>
      </c>
      <c r="U82" s="45">
        <f t="shared" si="14"/>
        <v>26827.200000000001</v>
      </c>
      <c r="V82" s="45">
        <f t="shared" si="15"/>
        <v>16968.900000000001</v>
      </c>
      <c r="W82" s="45">
        <f>SUM(U82*'Factors &amp; Percentages'!$E$6+V82*'Factors &amp; Percentages'!$E$7)</f>
        <v>3740.2055596623522</v>
      </c>
      <c r="X82" s="46">
        <v>0.5</v>
      </c>
      <c r="Y82" s="45">
        <f>X82*'Factors &amp; Percentages'!$E$10</f>
        <v>7080.4846431548049</v>
      </c>
      <c r="Z82" s="47">
        <v>4.8866063007901646E-2</v>
      </c>
      <c r="AA82" s="45">
        <f>+'Factors &amp; Percentages'!E$13*Z82</f>
        <v>8144.7095789182322</v>
      </c>
      <c r="AB82" s="48">
        <v>32</v>
      </c>
      <c r="AC82" s="49">
        <v>0</v>
      </c>
      <c r="AD82" s="50">
        <v>926</v>
      </c>
      <c r="AE82" s="45">
        <f>AB82*'Factors &amp; Percentages'!$E$16+AC82*'Factors &amp; Percentages'!$E$17+AD82*'Factors &amp; Percentages'!$E$18</f>
        <v>4500.8411740191359</v>
      </c>
      <c r="AF82" s="45">
        <f t="shared" si="16"/>
        <v>23466.240955754525</v>
      </c>
      <c r="AG82" s="51">
        <f t="shared" si="17"/>
        <v>17360.850000000002</v>
      </c>
      <c r="AH82" s="26">
        <f>IF($AL82&gt;$AF82,$AL82*(1+'Factors &amp; Percentages'!$B$3),
IF($AF82&gt;$AG82,$AG82,
IF($AF82&gt;$BOJ82,$AF82,
$AL82*(1+'Factors &amp; Percentages'!$B$3))))</f>
        <v>17360.850000000002</v>
      </c>
      <c r="AI82" s="26">
        <f>IF(+MIN(AH82,+X82*2*AK$1)-(AL82*(1+'Factors &amp; Percentages'!B$3))&gt;0,0,+MIN(AH82,+X82*2*AK$1)-(AL82*(1+'Factors &amp; Percentages'!B$3)))</f>
        <v>0</v>
      </c>
      <c r="AJ82" s="26">
        <f t="shared" si="13"/>
        <v>17360.850000000002</v>
      </c>
      <c r="AK82" s="51"/>
      <c r="AL82" s="52">
        <v>16585</v>
      </c>
    </row>
    <row r="83" spans="1:38" x14ac:dyDescent="0.25">
      <c r="A83" s="70">
        <v>130083</v>
      </c>
      <c r="B83" s="54" t="s">
        <v>405</v>
      </c>
      <c r="C83" s="54" t="s">
        <v>120</v>
      </c>
      <c r="D83" s="55" t="s">
        <v>120</v>
      </c>
      <c r="E83" s="56" t="s">
        <v>357</v>
      </c>
      <c r="F83" s="56" t="s">
        <v>361</v>
      </c>
      <c r="G83" s="64">
        <f t="shared" si="12"/>
        <v>59740</v>
      </c>
      <c r="H83" s="64">
        <v>68250</v>
      </c>
      <c r="I83" s="57">
        <v>106534</v>
      </c>
      <c r="J83" s="57">
        <v>114854</v>
      </c>
      <c r="K83" s="58">
        <v>98532</v>
      </c>
      <c r="L83" s="57">
        <v>17431</v>
      </c>
      <c r="M83" s="58">
        <v>26198</v>
      </c>
      <c r="N83" s="58">
        <v>28098</v>
      </c>
      <c r="O83" s="57">
        <v>25468</v>
      </c>
      <c r="P83" s="58">
        <v>29474</v>
      </c>
      <c r="Q83" s="58">
        <v>31501</v>
      </c>
      <c r="R83" s="57">
        <v>6251</v>
      </c>
      <c r="S83" s="58">
        <v>5045</v>
      </c>
      <c r="T83" s="58">
        <v>17912</v>
      </c>
      <c r="U83" s="59">
        <f t="shared" si="14"/>
        <v>107159.1</v>
      </c>
      <c r="V83" s="59">
        <f t="shared" si="15"/>
        <v>19977.8</v>
      </c>
      <c r="W83" s="59">
        <f>SUM(U83*'Factors &amp; Percentages'!$E$6+V83*'Factors &amp; Percentages'!$E$7)</f>
        <v>11586.156233181167</v>
      </c>
      <c r="X83" s="60">
        <v>0.75</v>
      </c>
      <c r="Y83" s="59">
        <f>X83*'Factors &amp; Percentages'!$E$10</f>
        <v>10620.726964732206</v>
      </c>
      <c r="Z83" s="61">
        <v>6.3536034461945085E-2</v>
      </c>
      <c r="AA83" s="59">
        <f>+'Factors &amp; Percentages'!E$13*Z83</f>
        <v>10589.814620527257</v>
      </c>
      <c r="AB83" s="62">
        <v>46</v>
      </c>
      <c r="AC83" s="85">
        <v>45</v>
      </c>
      <c r="AD83" s="63">
        <v>8969</v>
      </c>
      <c r="AE83" s="59">
        <f>AB83*'Factors &amp; Percentages'!$E$16+AC83*'Factors &amp; Percentages'!$E$17+AD83*'Factors &amp; Percentages'!$E$18</f>
        <v>9289.8007938534265</v>
      </c>
      <c r="AF83" s="59">
        <f t="shared" si="16"/>
        <v>42086.498612294061</v>
      </c>
      <c r="AG83" s="65">
        <f t="shared" si="17"/>
        <v>42086.498612294061</v>
      </c>
      <c r="AH83" s="64">
        <f>IF($AL83&gt;$AF83,$AL83*(1+'Factors &amp; Percentages'!$B$3),
IF($AF83&gt;$AG83,$AG83,
IF($AF83&gt;$BOJ83,$AF83,
$AL83*(1+'Factors &amp; Percentages'!$B$3))))</f>
        <v>59740</v>
      </c>
      <c r="AI83" s="64">
        <f>IF(+MIN(AH83,+X83*2*AK$1)-(AL83*(1+'Factors &amp; Percentages'!B$3))&gt;0,0,+MIN(AH83,+X83*2*AK$1)-(AL83*(1+'Factors &amp; Percentages'!B$3)))</f>
        <v>0</v>
      </c>
      <c r="AJ83" s="64">
        <f t="shared" si="13"/>
        <v>59740</v>
      </c>
      <c r="AK83" s="65"/>
      <c r="AL83" s="66">
        <v>58000</v>
      </c>
    </row>
    <row r="84" spans="1:38" hidden="1" x14ac:dyDescent="0.25">
      <c r="A84" s="39">
        <v>130195</v>
      </c>
      <c r="B84" s="40" t="s">
        <v>17</v>
      </c>
      <c r="C84" s="40" t="s">
        <v>17</v>
      </c>
      <c r="D84" s="41" t="s">
        <v>17</v>
      </c>
      <c r="E84" s="42" t="s">
        <v>237</v>
      </c>
      <c r="F84" s="42" t="s">
        <v>237</v>
      </c>
      <c r="G84" s="26">
        <f t="shared" si="12"/>
        <v>15761.909804101922</v>
      </c>
      <c r="H84" s="26">
        <v>18283.499336321947</v>
      </c>
      <c r="I84" s="43">
        <v>17995</v>
      </c>
      <c r="J84" s="43">
        <v>14082</v>
      </c>
      <c r="K84" s="44">
        <v>15137</v>
      </c>
      <c r="L84" s="43">
        <v>20409</v>
      </c>
      <c r="M84" s="44">
        <v>20409</v>
      </c>
      <c r="N84" s="44">
        <v>18721</v>
      </c>
      <c r="O84" s="43">
        <v>1048</v>
      </c>
      <c r="P84" s="44">
        <v>1034</v>
      </c>
      <c r="Q84" s="44">
        <v>1018</v>
      </c>
      <c r="R84" s="43">
        <v>13</v>
      </c>
      <c r="S84" s="44">
        <v>16</v>
      </c>
      <c r="T84" s="44">
        <v>3</v>
      </c>
      <c r="U84" s="45">
        <f t="shared" si="14"/>
        <v>17996.3</v>
      </c>
      <c r="V84" s="45">
        <f t="shared" si="15"/>
        <v>20513.8</v>
      </c>
      <c r="W84" s="45">
        <f>SUM(U84*'Factors &amp; Percentages'!$E$6+V84*'Factors &amp; Percentages'!$E$7)</f>
        <v>3149.6099710485673</v>
      </c>
      <c r="X84" s="46">
        <v>0.16500000000000001</v>
      </c>
      <c r="Y84" s="45">
        <f>X84*'Factors &amp; Percentages'!$E$10</f>
        <v>2336.5599322410858</v>
      </c>
      <c r="Z84" s="47">
        <v>3.8058991436726926E-2</v>
      </c>
      <c r="AA84" s="45">
        <f>+'Factors &amp; Percentages'!E$13*Z84</f>
        <v>6343.4500968198126</v>
      </c>
      <c r="AB84" s="48">
        <v>23</v>
      </c>
      <c r="AC84" s="49">
        <v>28</v>
      </c>
      <c r="AD84" s="50">
        <v>609</v>
      </c>
      <c r="AE84" s="45">
        <f>AB84*'Factors &amp; Percentages'!$E$16+AC84*'Factors &amp; Percentages'!$E$17+AD84*'Factors &amp; Percentages'!$E$18</f>
        <v>3932.2898039924567</v>
      </c>
      <c r="AF84" s="45">
        <f t="shared" si="16"/>
        <v>15761.909804101922</v>
      </c>
      <c r="AG84" s="51">
        <f t="shared" si="17"/>
        <v>15761.909804101922</v>
      </c>
      <c r="AH84" s="26">
        <f>IF($AL84&gt;$AF84,$AL84*(1+'Factors &amp; Percentages'!$B$3),
IF($AF84&gt;$AG84,$AG84,
IF($AF84&gt;$BOJ84,$AF84,
$AL84*(1+'Factors &amp; Percentages'!$B$3))))</f>
        <v>15761.909804101922</v>
      </c>
      <c r="AI84" s="26">
        <f>IF(+MIN(AH84,+X84*2*AK$1)-(AL84*(1+'Factors &amp; Percentages'!B$3))&gt;0,0,+MIN(AH84,+X84*2*AK$1)-(AL84*(1+'Factors &amp; Percentages'!B$3)))</f>
        <v>0</v>
      </c>
      <c r="AJ84" s="26">
        <f t="shared" si="13"/>
        <v>15761.909804101922</v>
      </c>
      <c r="AK84" s="51"/>
      <c r="AL84" s="52">
        <v>8220</v>
      </c>
    </row>
    <row r="85" spans="1:38" hidden="1" x14ac:dyDescent="0.25">
      <c r="A85" s="53">
        <v>130140</v>
      </c>
      <c r="B85" s="54" t="s">
        <v>406</v>
      </c>
      <c r="C85" s="54" t="s">
        <v>159</v>
      </c>
      <c r="D85" s="55" t="s">
        <v>159</v>
      </c>
      <c r="E85" s="56" t="s">
        <v>356</v>
      </c>
      <c r="F85" s="56" t="s">
        <v>358</v>
      </c>
      <c r="G85" s="64">
        <f t="shared" si="12"/>
        <v>28247.215136541148</v>
      </c>
      <c r="H85" s="64">
        <v>30045.124730833439</v>
      </c>
      <c r="I85" s="57">
        <v>26557</v>
      </c>
      <c r="J85" s="57">
        <v>34395</v>
      </c>
      <c r="K85" s="58">
        <v>64147</v>
      </c>
      <c r="L85" s="57">
        <v>117194</v>
      </c>
      <c r="M85" s="58">
        <v>180251</v>
      </c>
      <c r="N85" s="58">
        <v>194598</v>
      </c>
      <c r="O85" s="57">
        <v>1777</v>
      </c>
      <c r="P85" s="58">
        <v>0</v>
      </c>
      <c r="Q85" s="58">
        <v>0</v>
      </c>
      <c r="R85" s="57">
        <v>587</v>
      </c>
      <c r="S85" s="58">
        <v>0</v>
      </c>
      <c r="T85" s="58">
        <v>0</v>
      </c>
      <c r="U85" s="59">
        <f t="shared" si="14"/>
        <v>26615.7</v>
      </c>
      <c r="V85" s="59">
        <f t="shared" si="15"/>
        <v>117371.7</v>
      </c>
      <c r="W85" s="59">
        <f>SUM(U85*'Factors &amp; Percentages'!$E$6+V85*'Factors &amp; Percentages'!$E$7)</f>
        <v>10764.215245298821</v>
      </c>
      <c r="X85" s="60">
        <v>0.5</v>
      </c>
      <c r="Y85" s="59">
        <f>X85*'Factors &amp; Percentages'!$E$10</f>
        <v>7080.4846431548049</v>
      </c>
      <c r="Z85" s="61">
        <v>2.4151147541775445E-2</v>
      </c>
      <c r="AA85" s="59">
        <f>+'Factors &amp; Percentages'!E$13*Z85</f>
        <v>4025.3720193001618</v>
      </c>
      <c r="AB85" s="62">
        <v>25</v>
      </c>
      <c r="AC85" s="85">
        <v>48</v>
      </c>
      <c r="AD85" s="63">
        <v>8202</v>
      </c>
      <c r="AE85" s="59">
        <f>AB85*'Factors &amp; Percentages'!$E$16+AC85*'Factors &amp; Percentages'!$E$17+AD85*'Factors &amp; Percentages'!$E$18</f>
        <v>6377.1432287873613</v>
      </c>
      <c r="AF85" s="59">
        <f t="shared" si="16"/>
        <v>28247.215136541148</v>
      </c>
      <c r="AG85" s="65">
        <f t="shared" si="17"/>
        <v>28247.215136541148</v>
      </c>
      <c r="AH85" s="64">
        <f>IF($AL85&gt;$AF85,$AL85*(1+'Factors &amp; Percentages'!$B$3),
IF($AF85&gt;$AG85,$AG85,
IF($AF85&gt;$BOJ85,$AF85,
$AL85*(1+'Factors &amp; Percentages'!$B$3))))</f>
        <v>28247.215136541148</v>
      </c>
      <c r="AI85" s="64">
        <f>IF(+MIN(AH85,+X85*2*AK$1)-(AL85*(1+'Factors &amp; Percentages'!B$3))&gt;0,0,+MIN(AH85,+X85*2*AK$1)-(AL85*(1+'Factors &amp; Percentages'!B$3)))</f>
        <v>0</v>
      </c>
      <c r="AJ85" s="64">
        <f t="shared" si="13"/>
        <v>28247.215136541148</v>
      </c>
      <c r="AK85" s="65"/>
      <c r="AL85" s="66">
        <v>25000</v>
      </c>
    </row>
    <row r="86" spans="1:38" x14ac:dyDescent="0.25">
      <c r="A86" s="39">
        <v>130074</v>
      </c>
      <c r="B86" s="40" t="s">
        <v>407</v>
      </c>
      <c r="C86" s="40" t="s">
        <v>113</v>
      </c>
      <c r="D86" s="41" t="s">
        <v>113</v>
      </c>
      <c r="E86" s="42" t="s">
        <v>357</v>
      </c>
      <c r="F86" s="42" t="s">
        <v>359</v>
      </c>
      <c r="G86" s="26">
        <f t="shared" si="12"/>
        <v>12426.947509180613</v>
      </c>
      <c r="H86" s="26">
        <v>15750</v>
      </c>
      <c r="I86" s="43">
        <v>19194</v>
      </c>
      <c r="J86" s="43">
        <v>21257</v>
      </c>
      <c r="K86" s="44">
        <v>25148</v>
      </c>
      <c r="L86" s="43">
        <v>14389</v>
      </c>
      <c r="M86" s="44">
        <v>23250</v>
      </c>
      <c r="N86" s="44">
        <v>28902</v>
      </c>
      <c r="O86" s="43">
        <v>0</v>
      </c>
      <c r="P86" s="44">
        <v>0</v>
      </c>
      <c r="Q86" s="44">
        <v>0</v>
      </c>
      <c r="R86" s="43">
        <v>599</v>
      </c>
      <c r="S86" s="44">
        <v>0</v>
      </c>
      <c r="T86" s="44">
        <v>0</v>
      </c>
      <c r="U86" s="45">
        <f t="shared" si="14"/>
        <v>19253.900000000001</v>
      </c>
      <c r="V86" s="45">
        <f t="shared" si="15"/>
        <v>14389</v>
      </c>
      <c r="W86" s="45">
        <f>SUM(U86*'Factors &amp; Percentages'!$E$6+V86*'Factors &amp; Percentages'!$E$7)</f>
        <v>2839.4271025335338</v>
      </c>
      <c r="X86" s="46">
        <v>0.1</v>
      </c>
      <c r="Y86" s="45">
        <f>X86*'Factors &amp; Percentages'!$E$10</f>
        <v>1416.096928630961</v>
      </c>
      <c r="Z86" s="47">
        <v>3.3235068314682918E-2</v>
      </c>
      <c r="AA86" s="45">
        <f>+'Factors &amp; Percentages'!E$13*Z86</f>
        <v>5539.4268045459112</v>
      </c>
      <c r="AB86" s="48">
        <v>7</v>
      </c>
      <c r="AC86" s="49">
        <v>17</v>
      </c>
      <c r="AD86" s="50">
        <v>5736</v>
      </c>
      <c r="AE86" s="45">
        <f>AB86*'Factors &amp; Percentages'!$E$16+AC86*'Factors &amp; Percentages'!$E$17+AD86*'Factors &amp; Percentages'!$E$18</f>
        <v>2631.9966734702057</v>
      </c>
      <c r="AF86" s="45">
        <f t="shared" si="16"/>
        <v>12426.947509180613</v>
      </c>
      <c r="AG86" s="51">
        <f t="shared" si="17"/>
        <v>12426.947509180613</v>
      </c>
      <c r="AH86" s="26">
        <f>IF($AL86&gt;$AF86,$AL86*(1+'Factors &amp; Percentages'!$B$3),
IF($AF86&gt;$AG86,$AG86,
IF($AF86&gt;$BOJ86,$AF86,
$AL86*(1+'Factors &amp; Percentages'!$B$3))))</f>
        <v>12426.947509180613</v>
      </c>
      <c r="AI86" s="26">
        <f>IF(+MIN(AH86,+X86*2*AK$1)-(AL86*(1+'Factors &amp; Percentages'!B$3))&gt;0,0,+MIN(AH86,+X86*2*AK$1)-(AL86*(1+'Factors &amp; Percentages'!B$3)))</f>
        <v>0</v>
      </c>
      <c r="AJ86" s="26">
        <f t="shared" si="13"/>
        <v>12426.947509180613</v>
      </c>
      <c r="AK86" s="51"/>
      <c r="AL86" s="52">
        <v>10000</v>
      </c>
    </row>
    <row r="87" spans="1:38" hidden="1" x14ac:dyDescent="0.25">
      <c r="A87" s="53">
        <v>130252</v>
      </c>
      <c r="B87" s="54" t="s">
        <v>129</v>
      </c>
      <c r="C87" s="54" t="s">
        <v>129</v>
      </c>
      <c r="D87" s="55" t="s">
        <v>129</v>
      </c>
      <c r="E87" s="56" t="s">
        <v>237</v>
      </c>
      <c r="F87" s="56" t="s">
        <v>126</v>
      </c>
      <c r="G87" s="64">
        <f t="shared" si="12"/>
        <v>24205</v>
      </c>
      <c r="H87" s="64">
        <v>26044.850000000002</v>
      </c>
      <c r="I87" s="57">
        <v>34656</v>
      </c>
      <c r="J87" s="57">
        <v>40069</v>
      </c>
      <c r="K87" s="58">
        <v>33972</v>
      </c>
      <c r="L87" s="57">
        <v>36086</v>
      </c>
      <c r="M87" s="58">
        <v>34205</v>
      </c>
      <c r="N87" s="58">
        <v>8962</v>
      </c>
      <c r="O87" s="57">
        <v>20657</v>
      </c>
      <c r="P87" s="58">
        <v>17584</v>
      </c>
      <c r="Q87" s="58">
        <v>44632</v>
      </c>
      <c r="R87" s="57">
        <v>20459</v>
      </c>
      <c r="S87" s="58">
        <v>10454</v>
      </c>
      <c r="T87" s="58">
        <v>11419</v>
      </c>
      <c r="U87" s="59">
        <f t="shared" si="14"/>
        <v>36701.9</v>
      </c>
      <c r="V87" s="59">
        <f t="shared" si="15"/>
        <v>38151.699999999997</v>
      </c>
      <c r="W87" s="59">
        <f>SUM(U87*'Factors &amp; Percentages'!$E$6+V87*'Factors &amp; Percentages'!$E$7)</f>
        <v>6164.8638972803165</v>
      </c>
      <c r="X87" s="60">
        <v>0.5</v>
      </c>
      <c r="Y87" s="59">
        <f>X87*'Factors &amp; Percentages'!$E$10</f>
        <v>7080.4846431548049</v>
      </c>
      <c r="Z87" s="61">
        <v>8.3530325684739837E-2</v>
      </c>
      <c r="AA87" s="59">
        <f>+'Factors &amp; Percentages'!E$13*Z87</f>
        <v>13922.346140810458</v>
      </c>
      <c r="AB87" s="62">
        <v>48</v>
      </c>
      <c r="AC87" s="85">
        <v>71</v>
      </c>
      <c r="AD87" s="63">
        <v>6780</v>
      </c>
      <c r="AE87" s="59">
        <f>AB87*'Factors &amp; Percentages'!$E$16+AC87*'Factors &amp; Percentages'!$E$17+AD87*'Factors &amp; Percentages'!$E$18</f>
        <v>9736.1794222054086</v>
      </c>
      <c r="AF87" s="59">
        <f t="shared" si="16"/>
        <v>36903.874103450988</v>
      </c>
      <c r="AG87" s="65">
        <f t="shared" si="17"/>
        <v>22526.400000000001</v>
      </c>
      <c r="AH87" s="64">
        <f>IF($AL87&gt;$AF87,$AL87*(1+'Factors &amp; Percentages'!$B$3),
IF($AF87&gt;$AG87,$AG87,
IF($AF87&gt;$BOJ87,$AF87,
$AL87*(1+'Factors &amp; Percentages'!$B$3))))</f>
        <v>22526.400000000001</v>
      </c>
      <c r="AI87" s="64">
        <f>IF(+MIN(AH87,+X87*2*AK$1)-(AL87*(1+'Factors &amp; Percentages'!B$3))&gt;0,0,+MIN(AH87,+X87*2*AK$1)-(AL87*(1+'Factors &amp; Percentages'!B$3)))</f>
        <v>-1678.5999999999985</v>
      </c>
      <c r="AJ87" s="64">
        <f t="shared" si="13"/>
        <v>24205</v>
      </c>
      <c r="AK87" s="65"/>
      <c r="AL87" s="66">
        <v>23500</v>
      </c>
    </row>
    <row r="88" spans="1:38" hidden="1" x14ac:dyDescent="0.25">
      <c r="A88" s="39">
        <v>130253</v>
      </c>
      <c r="B88" s="40" t="s">
        <v>408</v>
      </c>
      <c r="C88" s="40" t="s">
        <v>300</v>
      </c>
      <c r="D88" s="41" t="s">
        <v>130</v>
      </c>
      <c r="E88" s="42" t="s">
        <v>237</v>
      </c>
      <c r="F88" s="42" t="s">
        <v>126</v>
      </c>
      <c r="G88" s="26">
        <f t="shared" si="12"/>
        <v>0</v>
      </c>
      <c r="H88" s="26">
        <v>0</v>
      </c>
      <c r="I88" s="43">
        <v>7731</v>
      </c>
      <c r="J88" s="43">
        <v>7731</v>
      </c>
      <c r="K88" s="44">
        <v>12585</v>
      </c>
      <c r="L88" s="43">
        <v>8316</v>
      </c>
      <c r="M88" s="44">
        <v>8316</v>
      </c>
      <c r="N88" s="44">
        <v>9730</v>
      </c>
      <c r="O88" s="43">
        <v>2741</v>
      </c>
      <c r="P88" s="44">
        <v>2741</v>
      </c>
      <c r="Q88" s="44">
        <v>2741</v>
      </c>
      <c r="R88" s="43">
        <v>0</v>
      </c>
      <c r="S88" s="44">
        <v>0</v>
      </c>
      <c r="T88" s="44">
        <v>0</v>
      </c>
      <c r="U88" s="45">
        <f t="shared" si="14"/>
        <v>7731</v>
      </c>
      <c r="V88" s="45">
        <f t="shared" si="15"/>
        <v>8590.1</v>
      </c>
      <c r="W88" s="45">
        <f>SUM(U88*'Factors &amp; Percentages'!$E$6+V88*'Factors &amp; Percentages'!$E$7)</f>
        <v>1337.4331566466055</v>
      </c>
      <c r="X88" s="46">
        <v>0</v>
      </c>
      <c r="Y88" s="45">
        <f>X88*'Factors &amp; Percentages'!$E$10</f>
        <v>0</v>
      </c>
      <c r="Z88" s="47">
        <v>2.9009050823857043E-2</v>
      </c>
      <c r="AA88" s="45">
        <f>+'Factors &amp; Percentages'!E$13*Z88</f>
        <v>4835.0589259091603</v>
      </c>
      <c r="AB88" s="48">
        <v>10</v>
      </c>
      <c r="AC88" s="49">
        <v>0</v>
      </c>
      <c r="AD88" s="50">
        <v>11134</v>
      </c>
      <c r="AE88" s="45">
        <f>AB88*'Factors &amp; Percentages'!$E$16+AC88*'Factors &amp; Percentages'!$E$17+AD88*'Factors &amp; Percentages'!$E$18</f>
        <v>3790.6930311524047</v>
      </c>
      <c r="AF88" s="45">
        <f t="shared" si="16"/>
        <v>9963.1851137081703</v>
      </c>
      <c r="AG88" s="51">
        <f t="shared" si="17"/>
        <v>5025.1500000000005</v>
      </c>
      <c r="AH88" s="26">
        <f>IF($AL88&gt;$AF88,$AL88*(1+'Factors &amp; Percentages'!$B$3),
IF($AF88&gt;$AG88,$AG88,
IF($AF88&gt;$BOJ88,$AF88,
$AL88*(1+'Factors &amp; Percentages'!$B$3))))</f>
        <v>5025.1500000000005</v>
      </c>
      <c r="AI88" s="26">
        <f>IF(+MIN(AH88,+X88*2*AK$1)-(AL88*(1+'Factors &amp; Percentages'!B$3))&gt;0,0,+MIN(AH88,+X88*2*AK$1)-(AL88*(1+'Factors &amp; Percentages'!B$3)))</f>
        <v>0</v>
      </c>
      <c r="AJ88" s="26">
        <f t="shared" si="13"/>
        <v>0</v>
      </c>
      <c r="AK88" s="51"/>
      <c r="AL88" s="52">
        <v>0</v>
      </c>
    </row>
    <row r="89" spans="1:38" hidden="1" x14ac:dyDescent="0.25">
      <c r="A89" s="53">
        <v>130257</v>
      </c>
      <c r="B89" s="54" t="s">
        <v>409</v>
      </c>
      <c r="C89" s="54" t="s">
        <v>301</v>
      </c>
      <c r="D89" s="55" t="s">
        <v>131</v>
      </c>
      <c r="E89" s="56" t="s">
        <v>237</v>
      </c>
      <c r="F89" s="56" t="s">
        <v>126</v>
      </c>
      <c r="G89" s="64">
        <f t="shared" si="12"/>
        <v>44785.306756037637</v>
      </c>
      <c r="H89" s="64">
        <v>28797.938309026998</v>
      </c>
      <c r="I89" s="57">
        <v>53971</v>
      </c>
      <c r="J89" s="57">
        <v>44699</v>
      </c>
      <c r="K89" s="58">
        <v>49918</v>
      </c>
      <c r="L89" s="57">
        <v>141182</v>
      </c>
      <c r="M89" s="58">
        <v>66257</v>
      </c>
      <c r="N89" s="58">
        <v>69944</v>
      </c>
      <c r="O89" s="57">
        <v>134229</v>
      </c>
      <c r="P89" s="58">
        <v>66829</v>
      </c>
      <c r="Q89" s="58">
        <v>99306</v>
      </c>
      <c r="R89" s="57">
        <v>44524</v>
      </c>
      <c r="S89" s="58">
        <v>23508</v>
      </c>
      <c r="T89" s="58">
        <v>17559</v>
      </c>
      <c r="U89" s="59">
        <f t="shared" si="14"/>
        <v>58423.4</v>
      </c>
      <c r="V89" s="59">
        <f t="shared" si="15"/>
        <v>154604.9</v>
      </c>
      <c r="W89" s="59">
        <f>SUM(U89*'Factors &amp; Percentages'!$E$6+V89*'Factors &amp; Percentages'!$E$7)</f>
        <v>16399.487266248896</v>
      </c>
      <c r="X89" s="60">
        <v>1</v>
      </c>
      <c r="Y89" s="59">
        <f>X89*'Factors &amp; Percentages'!$E$10</f>
        <v>14160.96928630961</v>
      </c>
      <c r="Z89" s="61">
        <v>2.2497845831261656E-2</v>
      </c>
      <c r="AA89" s="59">
        <f>+'Factors &amp; Percentages'!E$13*Z89</f>
        <v>3749.8093598674554</v>
      </c>
      <c r="AB89" s="62">
        <v>49</v>
      </c>
      <c r="AC89" s="85">
        <v>54</v>
      </c>
      <c r="AD89" s="63">
        <v>11490</v>
      </c>
      <c r="AE89" s="59">
        <f>AB89*'Factors &amp; Percentages'!$E$16+AC89*'Factors &amp; Percentages'!$E$17+AD89*'Factors &amp; Percentages'!$E$18</f>
        <v>10475.040843611678</v>
      </c>
      <c r="AF89" s="59">
        <f t="shared" si="16"/>
        <v>44785.306756037637</v>
      </c>
      <c r="AG89" s="65">
        <f t="shared" si="17"/>
        <v>44785.306756037637</v>
      </c>
      <c r="AH89" s="64">
        <f>IF($AL89&gt;$AF89,$AL89*(1+'Factors &amp; Percentages'!$B$3),
IF($AF89&gt;$AG89,$AG89,
IF($AF89&gt;$BOJ89,$AF89,
$AL89*(1+'Factors &amp; Percentages'!$B$3))))</f>
        <v>44785.306756037637</v>
      </c>
      <c r="AI89" s="64">
        <f>IF(+MIN(AH89,+X89*2*AK$1)-(AL89*(1+'Factors &amp; Percentages'!B$3))&gt;0,0,+MIN(AH89,+X89*2*AK$1)-(AL89*(1+'Factors &amp; Percentages'!B$3)))</f>
        <v>0</v>
      </c>
      <c r="AJ89" s="64">
        <f t="shared" si="13"/>
        <v>44785.306756037637</v>
      </c>
      <c r="AK89" s="65"/>
      <c r="AL89" s="66">
        <v>28798</v>
      </c>
    </row>
    <row r="90" spans="1:38" hidden="1" x14ac:dyDescent="0.25">
      <c r="A90" s="39">
        <v>130255</v>
      </c>
      <c r="B90" s="40" t="s">
        <v>410</v>
      </c>
      <c r="C90" s="40" t="s">
        <v>302</v>
      </c>
      <c r="D90" s="41" t="s">
        <v>132</v>
      </c>
      <c r="E90" s="42" t="s">
        <v>237</v>
      </c>
      <c r="F90" s="42" t="s">
        <v>126</v>
      </c>
      <c r="G90" s="26">
        <f t="shared" si="12"/>
        <v>30704.799393285361</v>
      </c>
      <c r="H90" s="26">
        <v>24197.086883562373</v>
      </c>
      <c r="I90" s="43">
        <v>63539</v>
      </c>
      <c r="J90" s="43">
        <v>63539</v>
      </c>
      <c r="K90" s="44">
        <v>80633</v>
      </c>
      <c r="L90" s="43">
        <v>76597</v>
      </c>
      <c r="M90" s="44">
        <v>76597</v>
      </c>
      <c r="N90" s="44">
        <v>109387</v>
      </c>
      <c r="O90" s="43">
        <v>32500</v>
      </c>
      <c r="P90" s="44">
        <v>32500</v>
      </c>
      <c r="Q90" s="44">
        <v>51512</v>
      </c>
      <c r="R90" s="43">
        <v>2016</v>
      </c>
      <c r="S90" s="44">
        <v>2016</v>
      </c>
      <c r="T90" s="44">
        <v>279</v>
      </c>
      <c r="U90" s="45">
        <f t="shared" si="14"/>
        <v>63740.6</v>
      </c>
      <c r="V90" s="45">
        <f t="shared" si="15"/>
        <v>79847</v>
      </c>
      <c r="W90" s="45">
        <f>SUM(U90*'Factors &amp; Percentages'!$E$6+V90*'Factors &amp; Percentages'!$E$7)</f>
        <v>11659.93809975333</v>
      </c>
      <c r="X90" s="46">
        <v>0.5</v>
      </c>
      <c r="Y90" s="45">
        <f>X90*'Factors &amp; Percentages'!$E$10</f>
        <v>7080.4846431548049</v>
      </c>
      <c r="Z90" s="47">
        <v>1.9093005850096992E-2</v>
      </c>
      <c r="AA90" s="45">
        <f>+'Factors &amp; Percentages'!E$13*Z90</f>
        <v>3182.3105457151587</v>
      </c>
      <c r="AB90" s="48">
        <v>45</v>
      </c>
      <c r="AC90" s="49">
        <v>63</v>
      </c>
      <c r="AD90" s="50">
        <v>5195</v>
      </c>
      <c r="AE90" s="45">
        <f>AB90*'Factors &amp; Percentages'!$E$16+AC90*'Factors &amp; Percentages'!$E$17+AD90*'Factors &amp; Percentages'!$E$18</f>
        <v>8782.0661046620662</v>
      </c>
      <c r="AF90" s="45">
        <f t="shared" si="16"/>
        <v>30704.799393285361</v>
      </c>
      <c r="AG90" s="51">
        <f t="shared" si="17"/>
        <v>30704.799393285361</v>
      </c>
      <c r="AH90" s="26">
        <f>IF($AL90&gt;$AF90,$AL90*(1+'Factors &amp; Percentages'!$B$3),
IF($AF90&gt;$AG90,$AG90,
IF($AF90&gt;$BOJ90,$AF90,
$AL90*(1+'Factors &amp; Percentages'!$B$3))))</f>
        <v>30704.799393285361</v>
      </c>
      <c r="AI90" s="26">
        <f>IF(+MIN(AH90,+X90*2*AK$1)-(AL90*(1+'Factors &amp; Percentages'!B$3))&gt;0,0,+MIN(AH90,+X90*2*AK$1)-(AL90*(1+'Factors &amp; Percentages'!B$3)))</f>
        <v>0</v>
      </c>
      <c r="AJ90" s="26">
        <f t="shared" si="13"/>
        <v>30704.799393285361</v>
      </c>
      <c r="AK90" s="51"/>
      <c r="AL90" s="52">
        <v>20000</v>
      </c>
    </row>
    <row r="91" spans="1:38" hidden="1" x14ac:dyDescent="0.25">
      <c r="A91" s="53">
        <v>130259</v>
      </c>
      <c r="B91" s="54" t="s">
        <v>411</v>
      </c>
      <c r="C91" s="54" t="s">
        <v>303</v>
      </c>
      <c r="D91" s="55" t="s">
        <v>133</v>
      </c>
      <c r="E91" s="56" t="s">
        <v>237</v>
      </c>
      <c r="F91" s="56" t="s">
        <v>126</v>
      </c>
      <c r="G91" s="64">
        <f t="shared" si="12"/>
        <v>26968.220577005784</v>
      </c>
      <c r="H91" s="64">
        <v>28868.45</v>
      </c>
      <c r="I91" s="57">
        <v>44926</v>
      </c>
      <c r="J91" s="57">
        <v>44413</v>
      </c>
      <c r="K91" s="58">
        <v>44110</v>
      </c>
      <c r="L91" s="57">
        <v>14807</v>
      </c>
      <c r="M91" s="58">
        <v>13189</v>
      </c>
      <c r="N91" s="58">
        <v>24070</v>
      </c>
      <c r="O91" s="57">
        <v>13378</v>
      </c>
      <c r="P91" s="58">
        <v>21332</v>
      </c>
      <c r="Q91" s="58">
        <v>9233</v>
      </c>
      <c r="R91" s="57">
        <v>1016</v>
      </c>
      <c r="S91" s="58">
        <v>5105</v>
      </c>
      <c r="T91" s="58">
        <v>5817</v>
      </c>
      <c r="U91" s="59">
        <f t="shared" si="14"/>
        <v>45027.6</v>
      </c>
      <c r="V91" s="59">
        <f t="shared" si="15"/>
        <v>16144.8</v>
      </c>
      <c r="W91" s="59">
        <f>SUM(U91*'Factors &amp; Percentages'!$E$6+V91*'Factors &amp; Percentages'!$E$7)</f>
        <v>5412.1781790474361</v>
      </c>
      <c r="X91" s="60">
        <v>0.5</v>
      </c>
      <c r="Y91" s="59">
        <f>X91*'Factors &amp; Percentages'!$E$10</f>
        <v>7080.4846431548049</v>
      </c>
      <c r="Z91" s="61">
        <v>3.9986724407496711E-2</v>
      </c>
      <c r="AA91" s="59">
        <f>+'Factors &amp; Percentages'!E$13*Z91</f>
        <v>6664.7533536442133</v>
      </c>
      <c r="AB91" s="62">
        <v>33</v>
      </c>
      <c r="AC91" s="85">
        <v>43</v>
      </c>
      <c r="AD91" s="63">
        <v>10413</v>
      </c>
      <c r="AE91" s="59">
        <f>AB91*'Factors &amp; Percentages'!$E$16+AC91*'Factors &amp; Percentages'!$E$17+AD91*'Factors &amp; Percentages'!$E$18</f>
        <v>7810.804401159332</v>
      </c>
      <c r="AF91" s="59">
        <f t="shared" si="16"/>
        <v>26968.220577005784</v>
      </c>
      <c r="AG91" s="65">
        <f t="shared" si="17"/>
        <v>26968.220577005784</v>
      </c>
      <c r="AH91" s="64">
        <f>IF($AL91&gt;$AF91,$AL91*(1+'Factors &amp; Percentages'!$B$3),
IF($AF91&gt;$AG91,$AG91,
IF($AF91&gt;$BOJ91,$AF91,
$AL91*(1+'Factors &amp; Percentages'!$B$3))))</f>
        <v>26968.220577005784</v>
      </c>
      <c r="AI91" s="64">
        <f>IF(+MIN(AH91,+X91*2*AK$1)-(AL91*(1+'Factors &amp; Percentages'!B$3))&gt;0,0,+MIN(AH91,+X91*2*AK$1)-(AL91*(1+'Factors &amp; Percentages'!B$3)))</f>
        <v>0</v>
      </c>
      <c r="AJ91" s="64">
        <f t="shared" si="13"/>
        <v>26968.220577005784</v>
      </c>
      <c r="AK91" s="65"/>
      <c r="AL91" s="66">
        <v>18764</v>
      </c>
    </row>
    <row r="92" spans="1:38" hidden="1" x14ac:dyDescent="0.25">
      <c r="A92" s="39">
        <v>130260</v>
      </c>
      <c r="B92" s="40" t="s">
        <v>412</v>
      </c>
      <c r="C92" s="40" t="s">
        <v>304</v>
      </c>
      <c r="D92" s="41" t="s">
        <v>134</v>
      </c>
      <c r="E92" s="42" t="s">
        <v>237</v>
      </c>
      <c r="F92" s="42" t="s">
        <v>126</v>
      </c>
      <c r="G92" s="26">
        <f t="shared" ref="G92:G123" si="18">+AJ92</f>
        <v>15450</v>
      </c>
      <c r="H92" s="26">
        <v>17200.3</v>
      </c>
      <c r="I92" s="43">
        <v>23302</v>
      </c>
      <c r="J92" s="43">
        <v>26462</v>
      </c>
      <c r="K92" s="44">
        <v>19253</v>
      </c>
      <c r="L92" s="43">
        <v>15098</v>
      </c>
      <c r="M92" s="44">
        <v>23013</v>
      </c>
      <c r="N92" s="44">
        <v>31157</v>
      </c>
      <c r="O92" s="43">
        <v>26014</v>
      </c>
      <c r="P92" s="44">
        <v>27201</v>
      </c>
      <c r="Q92" s="44">
        <v>30074</v>
      </c>
      <c r="R92" s="43">
        <v>50</v>
      </c>
      <c r="S92" s="44">
        <v>50</v>
      </c>
      <c r="T92" s="44">
        <v>180</v>
      </c>
      <c r="U92" s="45">
        <f t="shared" si="14"/>
        <v>23307</v>
      </c>
      <c r="V92" s="45">
        <f t="shared" si="15"/>
        <v>17699.400000000001</v>
      </c>
      <c r="W92" s="45">
        <f>SUM(U92*'Factors &amp; Percentages'!$E$6+V92*'Factors &amp; Percentages'!$E$7)</f>
        <v>3456.8918569784801</v>
      </c>
      <c r="X92" s="46">
        <v>0.5</v>
      </c>
      <c r="Y92" s="45">
        <f>X92*'Factors &amp; Percentages'!$E$10</f>
        <v>7080.4846431548049</v>
      </c>
      <c r="Z92" s="47">
        <v>1.6676172084754977E-2</v>
      </c>
      <c r="AA92" s="45">
        <f>+'Factors &amp; Percentages'!E$13*Z92</f>
        <v>2779.4868290582394</v>
      </c>
      <c r="AB92" s="48">
        <v>31</v>
      </c>
      <c r="AC92" s="49">
        <v>33</v>
      </c>
      <c r="AD92" s="50">
        <v>7352</v>
      </c>
      <c r="AE92" s="45">
        <f>AB92*'Factors &amp; Percentages'!$E$16+AC92*'Factors &amp; Percentages'!$E$17+AD92*'Factors &amp; Percentages'!$E$18</f>
        <v>6615.787236295826</v>
      </c>
      <c r="AF92" s="45">
        <f t="shared" si="16"/>
        <v>19932.650565487351</v>
      </c>
      <c r="AG92" s="51">
        <f t="shared" si="17"/>
        <v>15146.300000000001</v>
      </c>
      <c r="AH92" s="26">
        <f>IF($AL92&gt;$AF92,$AL92*(1+'Factors &amp; Percentages'!$B$3),
IF($AF92&gt;$AG92,$AG92,
IF($AF92&gt;$BOJ92,$AF92,
$AL92*(1+'Factors &amp; Percentages'!$B$3))))</f>
        <v>15146.300000000001</v>
      </c>
      <c r="AI92" s="26">
        <f>IF(+MIN(AH92,+X92*2*AK$1)-(AL92*(1+'Factors &amp; Percentages'!B$3))&gt;0,0,+MIN(AH92,+X92*2*AK$1)-(AL92*(1+'Factors &amp; Percentages'!B$3)))</f>
        <v>-303.69999999999891</v>
      </c>
      <c r="AJ92" s="26">
        <f t="shared" si="13"/>
        <v>15450</v>
      </c>
      <c r="AK92" s="51"/>
      <c r="AL92" s="52">
        <v>15000</v>
      </c>
    </row>
    <row r="93" spans="1:38" hidden="1" x14ac:dyDescent="0.25">
      <c r="A93" s="53">
        <v>130261</v>
      </c>
      <c r="B93" s="54" t="s">
        <v>413</v>
      </c>
      <c r="C93" s="54" t="s">
        <v>305</v>
      </c>
      <c r="D93" s="55" t="s">
        <v>135</v>
      </c>
      <c r="E93" s="56" t="s">
        <v>237</v>
      </c>
      <c r="F93" s="56" t="s">
        <v>126</v>
      </c>
      <c r="G93" s="64">
        <f t="shared" si="18"/>
        <v>26401.922236690451</v>
      </c>
      <c r="H93" s="64">
        <v>24884.367164577608</v>
      </c>
      <c r="I93" s="57">
        <v>27523</v>
      </c>
      <c r="J93" s="57">
        <v>28664</v>
      </c>
      <c r="K93" s="58">
        <v>23490</v>
      </c>
      <c r="L93" s="57">
        <v>105753</v>
      </c>
      <c r="M93" s="58">
        <v>135483</v>
      </c>
      <c r="N93" s="58">
        <v>108381</v>
      </c>
      <c r="O93" s="57">
        <v>3362</v>
      </c>
      <c r="P93" s="58">
        <v>996</v>
      </c>
      <c r="Q93" s="58">
        <v>875</v>
      </c>
      <c r="R93" s="57">
        <v>411</v>
      </c>
      <c r="S93" s="58">
        <v>364</v>
      </c>
      <c r="T93" s="58">
        <v>469</v>
      </c>
      <c r="U93" s="59">
        <f t="shared" si="14"/>
        <v>27564.1</v>
      </c>
      <c r="V93" s="59">
        <f t="shared" si="15"/>
        <v>106089.2</v>
      </c>
      <c r="W93" s="59">
        <f>SUM(U93*'Factors &amp; Percentages'!$E$6+V93*'Factors &amp; Percentages'!$E$7)</f>
        <v>10062.789046007118</v>
      </c>
      <c r="X93" s="60">
        <v>0.5</v>
      </c>
      <c r="Y93" s="59">
        <f>X93*'Factors &amp; Percentages'!$E$10</f>
        <v>7080.4846431548049</v>
      </c>
      <c r="Z93" s="61">
        <v>1.9457940688305194E-2</v>
      </c>
      <c r="AA93" s="59">
        <f>+'Factors &amp; Percentages'!E$13*Z93</f>
        <v>3243.135750151102</v>
      </c>
      <c r="AB93" s="62">
        <v>28</v>
      </c>
      <c r="AC93" s="85">
        <v>40</v>
      </c>
      <c r="AD93" s="63">
        <v>5647</v>
      </c>
      <c r="AE93" s="59">
        <f>AB93*'Factors &amp; Percentages'!$E$16+AC93*'Factors &amp; Percentages'!$E$17+AD93*'Factors &amp; Percentages'!$E$18</f>
        <v>6015.5127973774306</v>
      </c>
      <c r="AF93" s="59">
        <f t="shared" si="16"/>
        <v>26401.922236690451</v>
      </c>
      <c r="AG93" s="65">
        <f t="shared" si="17"/>
        <v>26401.922236690451</v>
      </c>
      <c r="AH93" s="64">
        <f>IF($AL93&gt;$AF93,$AL93*(1+'Factors &amp; Percentages'!$B$3),
IF($AF93&gt;$AG93,$AG93,
IF($AF93&gt;$BOJ93,$AF93,
$AL93*(1+'Factors &amp; Percentages'!$B$3))))</f>
        <v>26401.922236690451</v>
      </c>
      <c r="AI93" s="64">
        <f>IF(+MIN(AH93,+X93*2*AK$1)-(AL93*(1+'Factors &amp; Percentages'!B$3))&gt;0,0,+MIN(AH93,+X93*2*AK$1)-(AL93*(1+'Factors &amp; Percentages'!B$3)))</f>
        <v>0</v>
      </c>
      <c r="AJ93" s="64">
        <f t="shared" ref="AJ93:AJ124" si="19">MIN(AH93-AI93,+X93*2*AK$1)</f>
        <v>26401.922236690451</v>
      </c>
      <c r="AK93" s="65"/>
      <c r="AL93" s="66">
        <v>15000</v>
      </c>
    </row>
    <row r="94" spans="1:38" x14ac:dyDescent="0.25">
      <c r="A94" s="39">
        <v>130110</v>
      </c>
      <c r="B94" s="40" t="s">
        <v>364</v>
      </c>
      <c r="C94" s="40" t="s">
        <v>306</v>
      </c>
      <c r="D94" s="41" t="s">
        <v>143</v>
      </c>
      <c r="E94" s="42" t="s">
        <v>357</v>
      </c>
      <c r="F94" s="42" t="s">
        <v>362</v>
      </c>
      <c r="G94" s="26">
        <f t="shared" si="18"/>
        <v>35678.494989565421</v>
      </c>
      <c r="H94" s="26">
        <v>37548.194234845156</v>
      </c>
      <c r="I94" s="43">
        <v>71319</v>
      </c>
      <c r="J94" s="43">
        <v>69749</v>
      </c>
      <c r="K94" s="44">
        <v>70650</v>
      </c>
      <c r="L94" s="43">
        <v>25793</v>
      </c>
      <c r="M94" s="44">
        <v>39550</v>
      </c>
      <c r="N94" s="44">
        <v>60988</v>
      </c>
      <c r="O94" s="43">
        <f>+P94</f>
        <v>39777</v>
      </c>
      <c r="P94" s="44">
        <v>39777</v>
      </c>
      <c r="Q94" s="44">
        <v>30000</v>
      </c>
      <c r="R94" s="43">
        <v>0</v>
      </c>
      <c r="S94" s="44">
        <v>0</v>
      </c>
      <c r="T94" s="44">
        <v>0</v>
      </c>
      <c r="U94" s="45">
        <f t="shared" si="14"/>
        <v>71319</v>
      </c>
      <c r="V94" s="45">
        <f t="shared" si="15"/>
        <v>29770.7</v>
      </c>
      <c r="W94" s="45">
        <f>SUM(U94*'Factors &amp; Percentages'!$E$6+V94*'Factors &amp; Percentages'!$E$7)</f>
        <v>8866.9206917685515</v>
      </c>
      <c r="X94" s="46">
        <v>0.5</v>
      </c>
      <c r="Y94" s="45">
        <f>X94*'Factors &amp; Percentages'!$E$10</f>
        <v>7080.4846431548049</v>
      </c>
      <c r="Z94" s="47">
        <v>6.2417297081367187E-2</v>
      </c>
      <c r="AA94" s="45">
        <f>+'Factors &amp; Percentages'!E$13*Z94</f>
        <v>10403.35001709863</v>
      </c>
      <c r="AB94" s="48">
        <v>40</v>
      </c>
      <c r="AC94" s="49">
        <v>77</v>
      </c>
      <c r="AD94" s="50">
        <v>9117</v>
      </c>
      <c r="AE94" s="45">
        <f>AB94*'Factors &amp; Percentages'!$E$16+AC94*'Factors &amp; Percentages'!$E$17+AD94*'Factors &amp; Percentages'!$E$18</f>
        <v>9327.7396375434346</v>
      </c>
      <c r="AF94" s="45">
        <f t="shared" si="16"/>
        <v>35678.494989565421</v>
      </c>
      <c r="AG94" s="51">
        <f t="shared" si="17"/>
        <v>35678.494989565421</v>
      </c>
      <c r="AH94" s="26">
        <f>IF($AL94&gt;$AF94,$AL94*(1+'Factors &amp; Percentages'!$B$3),
IF($AF94&gt;$AG94,$AG94,
IF($AF94&gt;$BOJ94,$AF94,
$AL94*(1+'Factors &amp; Percentages'!$B$3))))</f>
        <v>35678.494989565421</v>
      </c>
      <c r="AI94" s="26">
        <f>IF(+MIN(AH94,+X94*2*AK$1)-(AL94*(1+'Factors &amp; Percentages'!B$3))&gt;0,0,+MIN(AH94,+X94*2*AK$1)-(AL94*(1+'Factors &amp; Percentages'!B$3)))</f>
        <v>0</v>
      </c>
      <c r="AJ94" s="26">
        <f t="shared" si="19"/>
        <v>35678.494989565421</v>
      </c>
      <c r="AK94" s="51"/>
      <c r="AL94" s="52">
        <v>24000</v>
      </c>
    </row>
    <row r="95" spans="1:38" x14ac:dyDescent="0.25">
      <c r="A95" s="53">
        <v>130046</v>
      </c>
      <c r="B95" s="54" t="s">
        <v>211</v>
      </c>
      <c r="C95" s="54" t="s">
        <v>211</v>
      </c>
      <c r="D95" s="55" t="s">
        <v>211</v>
      </c>
      <c r="E95" s="56" t="s">
        <v>357</v>
      </c>
      <c r="F95" s="56" t="s">
        <v>95</v>
      </c>
      <c r="G95" s="64">
        <f t="shared" si="18"/>
        <v>5455.45</v>
      </c>
      <c r="H95" s="64">
        <v>4954.95</v>
      </c>
      <c r="I95" s="57">
        <v>8393</v>
      </c>
      <c r="J95" s="57">
        <v>8393</v>
      </c>
      <c r="K95" s="58">
        <v>9882</v>
      </c>
      <c r="L95" s="57">
        <v>2099</v>
      </c>
      <c r="M95" s="58">
        <v>2099</v>
      </c>
      <c r="N95" s="58">
        <v>2099</v>
      </c>
      <c r="O95" s="57">
        <v>8721</v>
      </c>
      <c r="P95" s="58">
        <v>8721</v>
      </c>
      <c r="Q95" s="58">
        <v>8721</v>
      </c>
      <c r="R95" s="57">
        <v>1925</v>
      </c>
      <c r="S95" s="58">
        <v>1925</v>
      </c>
      <c r="T95" s="58">
        <v>323</v>
      </c>
      <c r="U95" s="59">
        <f t="shared" si="14"/>
        <v>8585.5</v>
      </c>
      <c r="V95" s="59">
        <f t="shared" si="15"/>
        <v>2971.1</v>
      </c>
      <c r="W95" s="59">
        <f>SUM(U95*'Factors &amp; Percentages'!$E$6+V95*'Factors &amp; Percentages'!$E$7)</f>
        <v>1024.4253021996778</v>
      </c>
      <c r="X95" s="60">
        <v>0.2</v>
      </c>
      <c r="Y95" s="59">
        <f>X95*'Factors &amp; Percentages'!$E$10</f>
        <v>2832.1938572619219</v>
      </c>
      <c r="Z95" s="61">
        <v>2.4351044659815906E-2</v>
      </c>
      <c r="AA95" s="59">
        <f>+'Factors &amp; Percentages'!E$13*Z95</f>
        <v>4058.6897017956599</v>
      </c>
      <c r="AB95" s="62">
        <v>16</v>
      </c>
      <c r="AC95" s="85">
        <v>27</v>
      </c>
      <c r="AD95" s="63">
        <v>1762</v>
      </c>
      <c r="AE95" s="59">
        <f>AB95*'Factors &amp; Percentages'!$E$16+AC95*'Factors &amp; Percentages'!$E$17+AD95*'Factors &amp; Percentages'!$E$18</f>
        <v>3220.4018318442941</v>
      </c>
      <c r="AF95" s="59">
        <f t="shared" si="16"/>
        <v>11135.710693101553</v>
      </c>
      <c r="AG95" s="65">
        <f t="shared" si="17"/>
        <v>5455.45</v>
      </c>
      <c r="AH95" s="64">
        <f>IF($AL95&gt;$AF95,$AL95*(1+'Factors &amp; Percentages'!$B$3),
IF($AF95&gt;$AG95,$AG95,
IF($AF95&gt;$BOJ95,$AF95,
$AL95*(1+'Factors &amp; Percentages'!$B$3))))</f>
        <v>5455.45</v>
      </c>
      <c r="AI95" s="64">
        <f>IF(+MIN(AH95,+X95*2*AK$1)-(AL95*(1+'Factors &amp; Percentages'!B$3))&gt;0,0,+MIN(AH95,+X95*2*AK$1)-(AL95*(1+'Factors &amp; Percentages'!B$3)))</f>
        <v>0</v>
      </c>
      <c r="AJ95" s="64">
        <f t="shared" si="19"/>
        <v>5455.45</v>
      </c>
      <c r="AK95" s="65"/>
      <c r="AL95" s="66">
        <v>2600</v>
      </c>
    </row>
    <row r="96" spans="1:38" hidden="1" x14ac:dyDescent="0.25">
      <c r="A96" s="39">
        <v>130241</v>
      </c>
      <c r="B96" s="40" t="s">
        <v>66</v>
      </c>
      <c r="C96" s="40" t="s">
        <v>307</v>
      </c>
      <c r="D96" s="41" t="s">
        <v>66</v>
      </c>
      <c r="E96" s="42" t="s">
        <v>237</v>
      </c>
      <c r="F96" s="42" t="s">
        <v>360</v>
      </c>
      <c r="G96" s="26">
        <f t="shared" si="18"/>
        <v>59617.43</v>
      </c>
      <c r="H96" s="26">
        <v>57881.25</v>
      </c>
      <c r="I96" s="43">
        <v>128067</v>
      </c>
      <c r="J96" s="43">
        <v>104803</v>
      </c>
      <c r="K96" s="44">
        <v>123338</v>
      </c>
      <c r="L96" s="43">
        <v>24002</v>
      </c>
      <c r="M96" s="44">
        <v>11315</v>
      </c>
      <c r="N96" s="44">
        <v>27849</v>
      </c>
      <c r="O96" s="43">
        <v>70831</v>
      </c>
      <c r="P96" s="44">
        <v>91846</v>
      </c>
      <c r="Q96" s="44">
        <v>87988</v>
      </c>
      <c r="R96" s="43">
        <v>28489</v>
      </c>
      <c r="S96" s="44">
        <v>38782</v>
      </c>
      <c r="T96" s="44">
        <v>52033</v>
      </c>
      <c r="U96" s="45">
        <f t="shared" si="14"/>
        <v>130915.9</v>
      </c>
      <c r="V96" s="45">
        <f t="shared" si="15"/>
        <v>31085.1</v>
      </c>
      <c r="W96" s="45">
        <f>SUM(U96*'Factors &amp; Percentages'!$E$6+V96*'Factors &amp; Percentages'!$E$7)</f>
        <v>14623.305762042026</v>
      </c>
      <c r="X96" s="46">
        <v>0.9</v>
      </c>
      <c r="Y96" s="45">
        <f>X96*'Factors &amp; Percentages'!$E$10</f>
        <v>12744.872357678649</v>
      </c>
      <c r="Z96" s="47">
        <v>3.6191234483008212E-2</v>
      </c>
      <c r="AA96" s="45">
        <f>+'Factors &amp; Percentages'!E$13*Z96</f>
        <v>6032.1432917353904</v>
      </c>
      <c r="AB96" s="48">
        <v>75</v>
      </c>
      <c r="AC96" s="49">
        <v>105</v>
      </c>
      <c r="AD96" s="50">
        <v>12466</v>
      </c>
      <c r="AE96" s="45">
        <f>AB96*'Factors &amp; Percentages'!$E$16+AC96*'Factors &amp; Percentages'!$E$17+AD96*'Factors &amp; Percentages'!$E$18</f>
        <v>15473.888621254822</v>
      </c>
      <c r="AF96" s="45">
        <f t="shared" si="16"/>
        <v>48874.210032710886</v>
      </c>
      <c r="AG96" s="51">
        <f t="shared" si="17"/>
        <v>48874.210032710886</v>
      </c>
      <c r="AH96" s="26">
        <f>IF($AL96&gt;$AF96,$AL96*(1+'Factors &amp; Percentages'!$B$3),
IF($AF96&gt;$AG96,$AG96,
IF($AF96&gt;$BOJ96,$AF96,
$AL96*(1+'Factors &amp; Percentages'!$B$3))))</f>
        <v>59617.43</v>
      </c>
      <c r="AI96" s="26">
        <f>IF(+MIN(AH96,+X96*2*AK$1)-(AL96*(1+'Factors &amp; Percentages'!B$3))&gt;0,0,+MIN(AH96,+X96*2*AK$1)-(AL96*(1+'Factors &amp; Percentages'!B$3)))</f>
        <v>0</v>
      </c>
      <c r="AJ96" s="26">
        <f t="shared" si="19"/>
        <v>59617.43</v>
      </c>
      <c r="AK96" s="51"/>
      <c r="AL96" s="52">
        <v>57881</v>
      </c>
    </row>
    <row r="97" spans="1:38" x14ac:dyDescent="0.25">
      <c r="A97" s="53">
        <v>130047</v>
      </c>
      <c r="B97" s="54" t="s">
        <v>414</v>
      </c>
      <c r="C97" s="54" t="s">
        <v>98</v>
      </c>
      <c r="D97" s="55" t="s">
        <v>98</v>
      </c>
      <c r="E97" s="56" t="s">
        <v>357</v>
      </c>
      <c r="F97" s="56" t="s">
        <v>95</v>
      </c>
      <c r="G97" s="64">
        <f t="shared" si="18"/>
        <v>15733.521644213199</v>
      </c>
      <c r="H97" s="64">
        <v>15554.7</v>
      </c>
      <c r="I97" s="57">
        <v>15428</v>
      </c>
      <c r="J97" s="57">
        <v>14751</v>
      </c>
      <c r="K97" s="58">
        <v>16425</v>
      </c>
      <c r="L97" s="57">
        <v>25666</v>
      </c>
      <c r="M97" s="58">
        <v>32244</v>
      </c>
      <c r="N97" s="58">
        <v>35014</v>
      </c>
      <c r="O97" s="57">
        <v>0</v>
      </c>
      <c r="P97" s="58">
        <v>0</v>
      </c>
      <c r="Q97" s="58">
        <v>4146</v>
      </c>
      <c r="R97" s="57">
        <v>40</v>
      </c>
      <c r="S97" s="58">
        <v>40</v>
      </c>
      <c r="T97" s="58">
        <v>547</v>
      </c>
      <c r="U97" s="59">
        <f t="shared" si="14"/>
        <v>15432</v>
      </c>
      <c r="V97" s="59">
        <f t="shared" si="15"/>
        <v>25666</v>
      </c>
      <c r="W97" s="59">
        <f>SUM(U97*'Factors &amp; Percentages'!$E$6+V97*'Factors &amp; Percentages'!$E$7)</f>
        <v>3267.3661642197922</v>
      </c>
      <c r="X97" s="60">
        <v>0.2</v>
      </c>
      <c r="Y97" s="59">
        <f>X97*'Factors &amp; Percentages'!$E$10</f>
        <v>2832.1938572619219</v>
      </c>
      <c r="Z97" s="61">
        <v>4.3387712599791739E-2</v>
      </c>
      <c r="AA97" s="59">
        <f>+'Factors &amp; Percentages'!E$13*Z97</f>
        <v>7231.6101741557004</v>
      </c>
      <c r="AB97" s="62">
        <v>13</v>
      </c>
      <c r="AC97" s="85">
        <v>22</v>
      </c>
      <c r="AD97" s="63">
        <v>450</v>
      </c>
      <c r="AE97" s="59">
        <f>AB97*'Factors &amp; Percentages'!$E$16+AC97*'Factors &amp; Percentages'!$E$17+AD97*'Factors &amp; Percentages'!$E$18</f>
        <v>2402.3514485757842</v>
      </c>
      <c r="AF97" s="59">
        <f t="shared" si="16"/>
        <v>15733.521644213199</v>
      </c>
      <c r="AG97" s="65">
        <f t="shared" si="17"/>
        <v>15733.521644213199</v>
      </c>
      <c r="AH97" s="64">
        <f>IF($AL97&gt;$AF97,$AL97*(1+'Factors &amp; Percentages'!$B$3),
IF($AF97&gt;$AG97,$AG97,
IF($AF97&gt;$BOJ97,$AF97,
$AL97*(1+'Factors &amp; Percentages'!$B$3))))</f>
        <v>15733.521644213199</v>
      </c>
      <c r="AI97" s="64">
        <f>IF(+MIN(AH97,+X97*2*AK$1)-(AL97*(1+'Factors &amp; Percentages'!B$3))&gt;0,0,+MIN(AH97,+X97*2*AK$1)-(AL97*(1+'Factors &amp; Percentages'!B$3)))</f>
        <v>0</v>
      </c>
      <c r="AJ97" s="64">
        <f t="shared" si="19"/>
        <v>15733.521644213199</v>
      </c>
      <c r="AK97" s="65"/>
      <c r="AL97" s="66">
        <v>15000</v>
      </c>
    </row>
    <row r="98" spans="1:38" x14ac:dyDescent="0.25">
      <c r="A98" s="39">
        <v>130112</v>
      </c>
      <c r="B98" s="40" t="s">
        <v>415</v>
      </c>
      <c r="C98" s="40" t="s">
        <v>308</v>
      </c>
      <c r="D98" s="41" t="s">
        <v>144</v>
      </c>
      <c r="E98" s="42" t="s">
        <v>357</v>
      </c>
      <c r="F98" s="42" t="s">
        <v>362</v>
      </c>
      <c r="G98" s="26">
        <f t="shared" si="18"/>
        <v>23467.459766418251</v>
      </c>
      <c r="H98" s="26">
        <v>21033.53861221909</v>
      </c>
      <c r="I98" s="43">
        <v>18239</v>
      </c>
      <c r="J98" s="43">
        <v>20144</v>
      </c>
      <c r="K98" s="44">
        <v>23094</v>
      </c>
      <c r="L98" s="43">
        <v>28181</v>
      </c>
      <c r="M98" s="44">
        <v>30987</v>
      </c>
      <c r="N98" s="44">
        <v>31810</v>
      </c>
      <c r="O98" s="43">
        <v>0</v>
      </c>
      <c r="P98" s="44">
        <v>0</v>
      </c>
      <c r="Q98" s="44">
        <v>0</v>
      </c>
      <c r="R98" s="43">
        <v>971</v>
      </c>
      <c r="S98" s="44">
        <v>5416</v>
      </c>
      <c r="T98" s="44">
        <v>1191</v>
      </c>
      <c r="U98" s="45">
        <f t="shared" ref="U98:U129" si="20">I98+R98*0.1</f>
        <v>18336.099999999999</v>
      </c>
      <c r="V98" s="45">
        <f t="shared" ref="V98:V129" si="21">L98+0.1*O98</f>
        <v>28181</v>
      </c>
      <c r="W98" s="45">
        <f>SUM(U98*'Factors &amp; Percentages'!$E$6+V98*'Factors &amp; Percentages'!$E$7)</f>
        <v>3719.8243493958416</v>
      </c>
      <c r="X98" s="46">
        <v>0.5</v>
      </c>
      <c r="Y98" s="45">
        <f>X98*'Factors &amp; Percentages'!$E$10</f>
        <v>7080.4846431548049</v>
      </c>
      <c r="Z98" s="47">
        <v>3.448454230391227E-2</v>
      </c>
      <c r="AA98" s="45">
        <f>+'Factors &amp; Percentages'!E$13*Z98</f>
        <v>5747.6818212645676</v>
      </c>
      <c r="AB98" s="48">
        <v>25</v>
      </c>
      <c r="AC98" s="49">
        <v>44</v>
      </c>
      <c r="AD98" s="50">
        <v>11130</v>
      </c>
      <c r="AE98" s="45">
        <f>AB98*'Factors &amp; Percentages'!$E$16+AC98*'Factors &amp; Percentages'!$E$17+AD98*'Factors &amp; Percentages'!$E$18</f>
        <v>6919.4689526030361</v>
      </c>
      <c r="AF98" s="45">
        <f t="shared" ref="AF98:AF129" si="22">W98+Y98+AA98+AE98</f>
        <v>23467.459766418251</v>
      </c>
      <c r="AG98" s="51">
        <f t="shared" ref="AG98:AG129" si="23">IF($L98&gt;SUM(I98:K98)/3,$AF98,MIN(AF98,$I98*0.65))</f>
        <v>23467.459766418251</v>
      </c>
      <c r="AH98" s="26">
        <f>IF($AL98&gt;$AF98,$AL98*(1+'Factors &amp; Percentages'!$B$3),
IF($AF98&gt;$AG98,$AG98,
IF($AF98&gt;$BOJ98,$AF98,
$AL98*(1+'Factors &amp; Percentages'!$B$3))))</f>
        <v>23467.459766418251</v>
      </c>
      <c r="AI98" s="26">
        <f>IF(+MIN(AH98,+X98*2*AK$1)-(AL98*(1+'Factors &amp; Percentages'!B$3))&gt;0,0,+MIN(AH98,+X98*2*AK$1)-(AL98*(1+'Factors &amp; Percentages'!B$3)))</f>
        <v>0</v>
      </c>
      <c r="AJ98" s="26">
        <f t="shared" si="19"/>
        <v>23467.459766418251</v>
      </c>
      <c r="AK98" s="51"/>
      <c r="AL98" s="52">
        <v>8000</v>
      </c>
    </row>
    <row r="99" spans="1:38" x14ac:dyDescent="0.25">
      <c r="A99" s="53">
        <v>130113</v>
      </c>
      <c r="B99" s="54" t="s">
        <v>416</v>
      </c>
      <c r="C99" s="54" t="s">
        <v>309</v>
      </c>
      <c r="D99" s="55" t="s">
        <v>145</v>
      </c>
      <c r="E99" s="56" t="s">
        <v>357</v>
      </c>
      <c r="F99" s="56" t="s">
        <v>362</v>
      </c>
      <c r="G99" s="64">
        <f t="shared" si="18"/>
        <v>38323.73745661461</v>
      </c>
      <c r="H99" s="64">
        <v>30965.340461709664</v>
      </c>
      <c r="I99" s="57">
        <v>62604</v>
      </c>
      <c r="J99" s="57">
        <v>53661</v>
      </c>
      <c r="K99" s="58">
        <v>69602</v>
      </c>
      <c r="L99" s="57">
        <v>21483</v>
      </c>
      <c r="M99" s="58">
        <v>15429</v>
      </c>
      <c r="N99" s="58">
        <v>17912</v>
      </c>
      <c r="O99" s="57">
        <v>1912</v>
      </c>
      <c r="P99" s="58">
        <v>8561</v>
      </c>
      <c r="Q99" s="58">
        <v>6464</v>
      </c>
      <c r="R99" s="57">
        <v>83</v>
      </c>
      <c r="S99" s="58">
        <v>4275</v>
      </c>
      <c r="T99" s="58">
        <v>3767</v>
      </c>
      <c r="U99" s="59">
        <f t="shared" si="20"/>
        <v>62612.3</v>
      </c>
      <c r="V99" s="59">
        <f t="shared" si="21"/>
        <v>21674.2</v>
      </c>
      <c r="W99" s="59">
        <f>SUM(U99*'Factors &amp; Percentages'!$E$6+V99*'Factors &amp; Percentages'!$E$7)</f>
        <v>7471.3859489951392</v>
      </c>
      <c r="X99" s="60">
        <v>0.75</v>
      </c>
      <c r="Y99" s="59">
        <f>X99*'Factors &amp; Percentages'!$E$10</f>
        <v>10620.726964732206</v>
      </c>
      <c r="Z99" s="61">
        <v>5.0096937574206087E-2</v>
      </c>
      <c r="AA99" s="59">
        <f>+'Factors &amp; Percentages'!E$13*Z99</f>
        <v>8349.864552606321</v>
      </c>
      <c r="AB99" s="62">
        <v>60</v>
      </c>
      <c r="AC99" s="85">
        <v>59</v>
      </c>
      <c r="AD99" s="63">
        <v>10593</v>
      </c>
      <c r="AE99" s="59">
        <f>AB99*'Factors &amp; Percentages'!$E$16+AC99*'Factors &amp; Percentages'!$E$17+AD99*'Factors &amp; Percentages'!$E$18</f>
        <v>11881.759990280943</v>
      </c>
      <c r="AF99" s="59">
        <f t="shared" si="22"/>
        <v>38323.73745661461</v>
      </c>
      <c r="AG99" s="65">
        <f t="shared" si="23"/>
        <v>38323.73745661461</v>
      </c>
      <c r="AH99" s="64">
        <f>IF($AL99&gt;$AF99,$AL99*(1+'Factors &amp; Percentages'!$B$3),
IF($AF99&gt;$AG99,$AG99,
IF($AF99&gt;$BOJ99,$AF99,
$AL99*(1+'Factors &amp; Percentages'!$B$3))))</f>
        <v>38323.73745661461</v>
      </c>
      <c r="AI99" s="64">
        <f>IF(+MIN(AH99,+X99*2*AK$1)-(AL99*(1+'Factors &amp; Percentages'!B$3))&gt;0,0,+MIN(AH99,+X99*2*AK$1)-(AL99*(1+'Factors &amp; Percentages'!B$3)))</f>
        <v>0</v>
      </c>
      <c r="AJ99" s="64">
        <f t="shared" si="19"/>
        <v>38323.73745661461</v>
      </c>
      <c r="AK99" s="65"/>
      <c r="AL99" s="66">
        <v>30965</v>
      </c>
    </row>
    <row r="100" spans="1:38" x14ac:dyDescent="0.25">
      <c r="A100" s="39">
        <v>130115</v>
      </c>
      <c r="B100" s="40" t="s">
        <v>146</v>
      </c>
      <c r="C100" s="40" t="s">
        <v>146</v>
      </c>
      <c r="D100" s="41" t="s">
        <v>454</v>
      </c>
      <c r="E100" s="42" t="s">
        <v>357</v>
      </c>
      <c r="F100" s="42" t="s">
        <v>362</v>
      </c>
      <c r="G100" s="26">
        <f t="shared" si="18"/>
        <v>9434.75</v>
      </c>
      <c r="H100" s="26">
        <v>8963.5</v>
      </c>
      <c r="I100" s="43">
        <v>14515</v>
      </c>
      <c r="J100" s="43">
        <v>13790</v>
      </c>
      <c r="K100" s="44">
        <v>13041</v>
      </c>
      <c r="L100" s="43">
        <v>2482</v>
      </c>
      <c r="M100" s="44">
        <v>3037</v>
      </c>
      <c r="N100" s="44">
        <v>3581</v>
      </c>
      <c r="O100" s="43">
        <v>437</v>
      </c>
      <c r="P100" s="44">
        <v>327</v>
      </c>
      <c r="Q100" s="44">
        <v>1819</v>
      </c>
      <c r="R100" s="43">
        <v>140</v>
      </c>
      <c r="S100" s="44">
        <v>400</v>
      </c>
      <c r="T100" s="44">
        <v>1981</v>
      </c>
      <c r="U100" s="45">
        <f t="shared" si="20"/>
        <v>14529</v>
      </c>
      <c r="V100" s="45">
        <f t="shared" si="21"/>
        <v>2525.6999999999998</v>
      </c>
      <c r="W100" s="45">
        <f>SUM(U100*'Factors &amp; Percentages'!$E$6+V100*'Factors &amp; Percentages'!$E$7)</f>
        <v>1558.0548547069782</v>
      </c>
      <c r="X100" s="46">
        <v>0.33333333333333331</v>
      </c>
      <c r="Y100" s="45">
        <f>X100*'Factors &amp; Percentages'!$E$10</f>
        <v>4720.3230954365363</v>
      </c>
      <c r="Z100" s="47">
        <v>3.5364180329028334E-2</v>
      </c>
      <c r="AA100" s="45">
        <f>+'Factors &amp; Percentages'!E$13*Z100</f>
        <v>5894.2947425466664</v>
      </c>
      <c r="AB100" s="48">
        <v>20</v>
      </c>
      <c r="AC100" s="49">
        <v>10</v>
      </c>
      <c r="AD100" s="50">
        <v>11194</v>
      </c>
      <c r="AE100" s="45">
        <f>AB100*'Factors &amp; Percentages'!$E$16+AC100*'Factors &amp; Percentages'!$E$17+AD100*'Factors &amp; Percentages'!$E$18</f>
        <v>5400.2585366170788</v>
      </c>
      <c r="AF100" s="45">
        <f t="shared" si="22"/>
        <v>17572.931229307258</v>
      </c>
      <c r="AG100" s="51">
        <f t="shared" si="23"/>
        <v>9434.75</v>
      </c>
      <c r="AH100" s="26">
        <f>IF($AL100&gt;$AF100,$AL100*(1+'Factors &amp; Percentages'!$B$3),
IF($AF100&gt;$AG100,$AG100,
IF($AF100&gt;$BOJ100,$AF100,
$AL100*(1+'Factors &amp; Percentages'!$B$3))))</f>
        <v>9434.75</v>
      </c>
      <c r="AI100" s="26">
        <f>IF(+MIN(AH100,+X100*2*AK$1)-(AL100*(1+'Factors &amp; Percentages'!B$3))&gt;0,0,+MIN(AH100,+X100*2*AK$1)-(AL100*(1+'Factors &amp; Percentages'!B$3)))</f>
        <v>0</v>
      </c>
      <c r="AJ100" s="26">
        <f t="shared" si="19"/>
        <v>9434.75</v>
      </c>
      <c r="AK100" s="51"/>
      <c r="AL100" s="52">
        <v>4000</v>
      </c>
    </row>
    <row r="101" spans="1:38" hidden="1" x14ac:dyDescent="0.25">
      <c r="A101" s="70">
        <v>130242</v>
      </c>
      <c r="B101" s="54" t="s">
        <v>67</v>
      </c>
      <c r="C101" s="54" t="s">
        <v>67</v>
      </c>
      <c r="D101" s="55" t="s">
        <v>67</v>
      </c>
      <c r="E101" s="56" t="s">
        <v>237</v>
      </c>
      <c r="F101" s="56" t="s">
        <v>360</v>
      </c>
      <c r="G101" s="64">
        <f t="shared" si="18"/>
        <v>33217.5</v>
      </c>
      <c r="H101" s="64">
        <v>52038</v>
      </c>
      <c r="I101" s="57">
        <v>65881</v>
      </c>
      <c r="J101" s="57">
        <v>70846</v>
      </c>
      <c r="K101" s="58">
        <v>98165</v>
      </c>
      <c r="L101" s="57">
        <v>14764</v>
      </c>
      <c r="M101" s="58">
        <v>53243</v>
      </c>
      <c r="N101" s="58">
        <v>43792</v>
      </c>
      <c r="O101" s="57">
        <v>21123</v>
      </c>
      <c r="P101" s="58">
        <v>7548</v>
      </c>
      <c r="Q101" s="58">
        <v>16428</v>
      </c>
      <c r="R101" s="57">
        <v>148</v>
      </c>
      <c r="S101" s="58">
        <v>0</v>
      </c>
      <c r="T101" s="58">
        <v>0</v>
      </c>
      <c r="U101" s="59">
        <f t="shared" si="20"/>
        <v>65895.8</v>
      </c>
      <c r="V101" s="59">
        <f t="shared" si="21"/>
        <v>16876.3</v>
      </c>
      <c r="W101" s="59">
        <f>SUM(U101*'Factors &amp; Percentages'!$E$6+V101*'Factors &amp; Percentages'!$E$7)</f>
        <v>7446.8406417445367</v>
      </c>
      <c r="X101" s="60">
        <v>0.5</v>
      </c>
      <c r="Y101" s="59">
        <f>X101*'Factors &amp; Percentages'!$E$10</f>
        <v>7080.4846431548049</v>
      </c>
      <c r="Z101" s="61">
        <v>6.8732301432381154E-2</v>
      </c>
      <c r="AA101" s="59">
        <f>+'Factors &amp; Percentages'!E$13*Z101</f>
        <v>11455.898007721426</v>
      </c>
      <c r="AB101" s="62">
        <v>30</v>
      </c>
      <c r="AC101" s="85">
        <v>74</v>
      </c>
      <c r="AD101" s="63">
        <v>3583</v>
      </c>
      <c r="AE101" s="59">
        <f>AB101*'Factors &amp; Percentages'!$E$16+AC101*'Factors &amp; Percentages'!$E$17+AD101*'Factors &amp; Percentages'!$E$18</f>
        <v>6692.1569588611092</v>
      </c>
      <c r="AF101" s="59">
        <f t="shared" si="22"/>
        <v>32675.380251481874</v>
      </c>
      <c r="AG101" s="65">
        <f t="shared" si="23"/>
        <v>32675.380251481874</v>
      </c>
      <c r="AH101" s="64">
        <f>IF($AL101&gt;$AF101,$AL101*(1+'Factors &amp; Percentages'!$B$3),
IF($AF101&gt;$AG101,$AG101,
IF($AF101&gt;$BOJ101,$AF101,
$AL101*(1+'Factors &amp; Percentages'!$B$3))))</f>
        <v>32675.380251481874</v>
      </c>
      <c r="AI101" s="64">
        <f>IF(+MIN(AH101,+X101*2*AK$1)-(AL101*(1+'Factors &amp; Percentages'!B$3))&gt;0,0,+MIN(AH101,+X101*2*AK$1)-(AL101*(1+'Factors &amp; Percentages'!B$3)))</f>
        <v>-542.11974851812556</v>
      </c>
      <c r="AJ101" s="64">
        <f t="shared" si="19"/>
        <v>33217.5</v>
      </c>
      <c r="AK101" s="65"/>
      <c r="AL101" s="66">
        <v>32250</v>
      </c>
    </row>
    <row r="102" spans="1:38" x14ac:dyDescent="0.25">
      <c r="A102" s="39">
        <v>130158</v>
      </c>
      <c r="B102" s="40" t="s">
        <v>310</v>
      </c>
      <c r="C102" s="40" t="s">
        <v>310</v>
      </c>
      <c r="D102" s="41" t="s">
        <v>194</v>
      </c>
      <c r="E102" s="42" t="s">
        <v>357</v>
      </c>
      <c r="F102" s="42" t="s">
        <v>249</v>
      </c>
      <c r="G102" s="26">
        <f t="shared" si="18"/>
        <v>38214.58300652045</v>
      </c>
      <c r="H102" s="26">
        <v>28410.673827330244</v>
      </c>
      <c r="I102" s="43">
        <v>33927</v>
      </c>
      <c r="J102" s="43">
        <v>34213</v>
      </c>
      <c r="K102" s="44">
        <v>37741</v>
      </c>
      <c r="L102" s="43">
        <v>119288</v>
      </c>
      <c r="M102" s="44">
        <v>46332</v>
      </c>
      <c r="N102" s="44">
        <v>50678</v>
      </c>
      <c r="O102" s="43">
        <v>32482</v>
      </c>
      <c r="P102" s="44">
        <v>33300</v>
      </c>
      <c r="Q102" s="44">
        <v>31515</v>
      </c>
      <c r="R102" s="43">
        <v>16297</v>
      </c>
      <c r="S102" s="44">
        <v>4197</v>
      </c>
      <c r="T102" s="44">
        <v>11564</v>
      </c>
      <c r="U102" s="45">
        <f t="shared" si="20"/>
        <v>35556.699999999997</v>
      </c>
      <c r="V102" s="45">
        <f t="shared" si="21"/>
        <v>122536.2</v>
      </c>
      <c r="W102" s="45">
        <f>SUM(U102*'Factors &amp; Percentages'!$E$6+V102*'Factors &amp; Percentages'!$E$7)</f>
        <v>11976.313418382044</v>
      </c>
      <c r="X102" s="46">
        <v>1</v>
      </c>
      <c r="Y102" s="45">
        <f>X102*'Factors &amp; Percentages'!$E$10</f>
        <v>14160.96928630961</v>
      </c>
      <c r="Z102" s="47">
        <v>1.6151801087339251E-2</v>
      </c>
      <c r="AA102" s="45">
        <f>+'Factors &amp; Percentages'!E$13*Z102</f>
        <v>2692.0877381008163</v>
      </c>
      <c r="AB102" s="48">
        <v>33</v>
      </c>
      <c r="AC102" s="49">
        <v>118</v>
      </c>
      <c r="AD102" s="50">
        <v>8927</v>
      </c>
      <c r="AE102" s="45">
        <f>AB102*'Factors &amp; Percentages'!$E$16+AC102*'Factors &amp; Percentages'!$E$17+AD102*'Factors &amp; Percentages'!$E$18</f>
        <v>9385.2125637279805</v>
      </c>
      <c r="AF102" s="45">
        <f t="shared" si="22"/>
        <v>38214.58300652045</v>
      </c>
      <c r="AG102" s="51">
        <f t="shared" si="23"/>
        <v>38214.58300652045</v>
      </c>
      <c r="AH102" s="26">
        <f>IF($AL102&gt;$AF102,$AL102*(1+'Factors &amp; Percentages'!$B$3),
IF($AF102&gt;$AG102,$AG102,
IF($AF102&gt;$BOJ102,$AF102,
$AL102*(1+'Factors &amp; Percentages'!$B$3))))</f>
        <v>38214.58300652045</v>
      </c>
      <c r="AI102" s="26">
        <f>IF(+MIN(AH102,+X102*2*AK$1)-(AL102*(1+'Factors &amp; Percentages'!B$3))&gt;0,0,+MIN(AH102,+X102*2*AK$1)-(AL102*(1+'Factors &amp; Percentages'!B$3)))</f>
        <v>0</v>
      </c>
      <c r="AJ102" s="26">
        <f t="shared" si="19"/>
        <v>38214.58300652045</v>
      </c>
      <c r="AK102" s="51"/>
      <c r="AL102" s="52">
        <v>14520</v>
      </c>
    </row>
    <row r="103" spans="1:38" x14ac:dyDescent="0.25">
      <c r="A103" s="53">
        <v>130102</v>
      </c>
      <c r="B103" s="54" t="s">
        <v>48</v>
      </c>
      <c r="C103" s="54" t="s">
        <v>48</v>
      </c>
      <c r="D103" s="68" t="s">
        <v>48</v>
      </c>
      <c r="E103" s="56" t="s">
        <v>357</v>
      </c>
      <c r="F103" s="56" t="s">
        <v>256</v>
      </c>
      <c r="G103" s="64">
        <f t="shared" si="18"/>
        <v>25638.600000000002</v>
      </c>
      <c r="H103" s="64">
        <v>25788.582055303796</v>
      </c>
      <c r="I103" s="57">
        <v>39444</v>
      </c>
      <c r="J103" s="57">
        <v>40386</v>
      </c>
      <c r="K103" s="58">
        <v>42581</v>
      </c>
      <c r="L103" s="57">
        <v>29325</v>
      </c>
      <c r="M103" s="58">
        <v>40754</v>
      </c>
      <c r="N103" s="58">
        <v>57049</v>
      </c>
      <c r="O103" s="57">
        <v>11894</v>
      </c>
      <c r="P103" s="58">
        <v>18608</v>
      </c>
      <c r="Q103" s="58">
        <v>22702</v>
      </c>
      <c r="R103" s="57">
        <v>5025</v>
      </c>
      <c r="S103" s="58">
        <v>7859</v>
      </c>
      <c r="T103" s="58">
        <v>241</v>
      </c>
      <c r="U103" s="59">
        <f t="shared" si="20"/>
        <v>39946.5</v>
      </c>
      <c r="V103" s="59">
        <f t="shared" si="21"/>
        <v>30514.400000000001</v>
      </c>
      <c r="W103" s="59">
        <f>SUM(U103*'Factors &amp; Percentages'!$E$6+V103*'Factors &amp; Percentages'!$E$7)</f>
        <v>5937.4134066985425</v>
      </c>
      <c r="X103" s="60">
        <v>0.5</v>
      </c>
      <c r="Y103" s="59">
        <f>X103*'Factors &amp; Percentages'!$E$10</f>
        <v>7080.4846431548049</v>
      </c>
      <c r="Z103" s="61">
        <v>3.3843467195527249E-2</v>
      </c>
      <c r="AA103" s="59">
        <f>+'Factors &amp; Percentages'!E$13*Z103</f>
        <v>5640.8311716588232</v>
      </c>
      <c r="AB103" s="62">
        <v>43</v>
      </c>
      <c r="AC103" s="85">
        <v>77</v>
      </c>
      <c r="AD103" s="63">
        <v>11101</v>
      </c>
      <c r="AE103" s="59">
        <f>AB103*'Factors &amp; Percentages'!$E$16+AC103*'Factors &amp; Percentages'!$E$17+AD103*'Factors &amp; Percentages'!$E$18</f>
        <v>10166.78830774673</v>
      </c>
      <c r="AF103" s="59">
        <f t="shared" si="22"/>
        <v>28825.517529258901</v>
      </c>
      <c r="AG103" s="65">
        <f t="shared" si="23"/>
        <v>25638.600000000002</v>
      </c>
      <c r="AH103" s="64">
        <f>IF($AL103&gt;$AF103,$AL103*(1+'Factors &amp; Percentages'!$B$3),
IF($AF103&gt;$AG103,$AG103,
IF($AF103&gt;$BOJ103,$AF103,
$AL103*(1+'Factors &amp; Percentages'!$B$3))))</f>
        <v>25638.600000000002</v>
      </c>
      <c r="AI103" s="64">
        <f>IF(+MIN(AH103,+X103*2*AK$1)-(AL103*(1+'Factors &amp; Percentages'!B$3))&gt;0,0,+MIN(AH103,+X103*2*AK$1)-(AL103*(1+'Factors &amp; Percentages'!B$3)))</f>
        <v>0</v>
      </c>
      <c r="AJ103" s="64">
        <f t="shared" si="19"/>
        <v>25638.600000000002</v>
      </c>
      <c r="AK103" s="65"/>
      <c r="AL103" s="66">
        <v>24100</v>
      </c>
    </row>
    <row r="104" spans="1:38" x14ac:dyDescent="0.25">
      <c r="A104" s="39">
        <v>130100</v>
      </c>
      <c r="B104" s="40" t="s">
        <v>417</v>
      </c>
      <c r="C104" s="40" t="s">
        <v>311</v>
      </c>
      <c r="D104" s="69" t="s">
        <v>49</v>
      </c>
      <c r="E104" s="42" t="s">
        <v>357</v>
      </c>
      <c r="F104" s="42" t="s">
        <v>256</v>
      </c>
      <c r="G104" s="26">
        <f t="shared" si="18"/>
        <v>19301.75</v>
      </c>
      <c r="H104" s="26">
        <v>24766.3</v>
      </c>
      <c r="I104" s="43">
        <v>29695</v>
      </c>
      <c r="J104" s="43">
        <v>38102</v>
      </c>
      <c r="K104" s="44">
        <v>39760</v>
      </c>
      <c r="L104" s="43">
        <v>12161</v>
      </c>
      <c r="M104" s="44">
        <v>13438</v>
      </c>
      <c r="N104" s="44">
        <v>18097</v>
      </c>
      <c r="O104" s="43">
        <v>13692</v>
      </c>
      <c r="P104" s="44">
        <v>19675</v>
      </c>
      <c r="Q104" s="44">
        <v>18918</v>
      </c>
      <c r="R104" s="43">
        <v>0</v>
      </c>
      <c r="S104" s="44">
        <v>0</v>
      </c>
      <c r="T104" s="44">
        <v>3985</v>
      </c>
      <c r="U104" s="45">
        <f t="shared" si="20"/>
        <v>29695</v>
      </c>
      <c r="V104" s="45">
        <f t="shared" si="21"/>
        <v>13530.2</v>
      </c>
      <c r="W104" s="45">
        <f>SUM(U104*'Factors &amp; Percentages'!$E$6+V104*'Factors &amp; Percentages'!$E$7)</f>
        <v>3771.5110188130252</v>
      </c>
      <c r="X104" s="46">
        <v>0.85</v>
      </c>
      <c r="Y104" s="45">
        <f>X104*'Factors &amp; Percentages'!$E$10</f>
        <v>12036.823893363167</v>
      </c>
      <c r="Z104" s="47">
        <v>2.622703167700886E-2</v>
      </c>
      <c r="AA104" s="45">
        <f>+'Factors &amp; Percentages'!E$13*Z104</f>
        <v>4371.3682457247469</v>
      </c>
      <c r="AB104" s="48">
        <v>30</v>
      </c>
      <c r="AC104" s="49">
        <v>37</v>
      </c>
      <c r="AD104" s="50">
        <v>13179</v>
      </c>
      <c r="AE104" s="45">
        <f>AB104*'Factors &amp; Percentages'!$E$16+AC104*'Factors &amp; Percentages'!$E$17+AD104*'Factors &amp; Percentages'!$E$18</f>
        <v>7863.950265369258</v>
      </c>
      <c r="AF104" s="45">
        <f t="shared" si="22"/>
        <v>28043.6534232702</v>
      </c>
      <c r="AG104" s="51">
        <f t="shared" si="23"/>
        <v>19301.75</v>
      </c>
      <c r="AH104" s="26">
        <f>IF($AL104&gt;$AF104,$AL104*(1+'Factors &amp; Percentages'!$B$3),
IF($AF104&gt;$AG104,$AG104,
IF($AF104&gt;$BOJ104,$AF104,
$AL104*(1+'Factors &amp; Percentages'!$B$3))))</f>
        <v>19301.75</v>
      </c>
      <c r="AI104" s="26">
        <f>IF(+MIN(AH104,+X104*2*AK$1)-(AL104*(1+'Factors &amp; Percentages'!B$3))&gt;0,0,+MIN(AH104,+X104*2*AK$1)-(AL104*(1+'Factors &amp; Percentages'!B$3)))</f>
        <v>0</v>
      </c>
      <c r="AJ104" s="26">
        <f t="shared" si="19"/>
        <v>19301.75</v>
      </c>
      <c r="AK104" s="51"/>
      <c r="AL104" s="52">
        <v>17000</v>
      </c>
    </row>
    <row r="105" spans="1:38" x14ac:dyDescent="0.25">
      <c r="A105" s="53">
        <v>130076</v>
      </c>
      <c r="B105" s="54" t="s">
        <v>418</v>
      </c>
      <c r="C105" s="54" t="s">
        <v>312</v>
      </c>
      <c r="D105" s="55" t="s">
        <v>114</v>
      </c>
      <c r="E105" s="56" t="s">
        <v>357</v>
      </c>
      <c r="F105" s="56" t="s">
        <v>359</v>
      </c>
      <c r="G105" s="64">
        <f t="shared" si="18"/>
        <v>33856.479312292315</v>
      </c>
      <c r="H105" s="64">
        <v>28398.177822870181</v>
      </c>
      <c r="I105" s="57">
        <v>32009</v>
      </c>
      <c r="J105" s="57">
        <v>33040</v>
      </c>
      <c r="K105" s="58">
        <v>31845</v>
      </c>
      <c r="L105" s="57">
        <v>35403</v>
      </c>
      <c r="M105" s="58">
        <v>43764</v>
      </c>
      <c r="N105" s="58">
        <v>26227</v>
      </c>
      <c r="O105" s="57">
        <v>20130</v>
      </c>
      <c r="P105" s="58">
        <v>20130</v>
      </c>
      <c r="Q105" s="58">
        <v>14554</v>
      </c>
      <c r="R105" s="57">
        <v>0</v>
      </c>
      <c r="S105" s="58">
        <v>0</v>
      </c>
      <c r="T105" s="58">
        <v>0</v>
      </c>
      <c r="U105" s="59">
        <f t="shared" si="20"/>
        <v>32009</v>
      </c>
      <c r="V105" s="59">
        <f t="shared" si="21"/>
        <v>37416</v>
      </c>
      <c r="W105" s="59">
        <f>SUM(U105*'Factors &amp; Percentages'!$E$6+V105*'Factors &amp; Percentages'!$E$7)</f>
        <v>5667.2288167347324</v>
      </c>
      <c r="X105" s="60">
        <v>1</v>
      </c>
      <c r="Y105" s="59">
        <f>X105*'Factors &amp; Percentages'!$E$10</f>
        <v>14160.96928630961</v>
      </c>
      <c r="Z105" s="61">
        <v>4.0251167283851232E-2</v>
      </c>
      <c r="AA105" s="59">
        <f>+'Factors &amp; Percentages'!E$13*Z105</f>
        <v>6708.8291456263314</v>
      </c>
      <c r="AB105" s="62">
        <v>27</v>
      </c>
      <c r="AC105" s="85">
        <v>43</v>
      </c>
      <c r="AD105" s="63">
        <v>11843</v>
      </c>
      <c r="AE105" s="59">
        <f>AB105*'Factors &amp; Percentages'!$E$16+AC105*'Factors &amp; Percentages'!$E$17+AD105*'Factors &amp; Percentages'!$E$18</f>
        <v>7319.4520636216366</v>
      </c>
      <c r="AF105" s="59">
        <f t="shared" si="22"/>
        <v>33856.479312292315</v>
      </c>
      <c r="AG105" s="65">
        <f t="shared" si="23"/>
        <v>33856.479312292315</v>
      </c>
      <c r="AH105" s="64">
        <f>IF($AL105&gt;$AF105,$AL105*(1+'Factors &amp; Percentages'!$B$3),
IF($AF105&gt;$AG105,$AG105,
IF($AF105&gt;$BOJ105,$AF105,
$AL105*(1+'Factors &amp; Percentages'!$B$3))))</f>
        <v>33856.479312292315</v>
      </c>
      <c r="AI105" s="64">
        <f>IF(+MIN(AH105,+X105*2*AK$1)-(AL105*(1+'Factors &amp; Percentages'!B$3))&gt;0,0,+MIN(AH105,+X105*2*AK$1)-(AL105*(1+'Factors &amp; Percentages'!B$3)))</f>
        <v>0</v>
      </c>
      <c r="AJ105" s="64">
        <f t="shared" si="19"/>
        <v>33856.479312292315</v>
      </c>
      <c r="AK105" s="65"/>
      <c r="AL105" s="66">
        <v>10000</v>
      </c>
    </row>
    <row r="106" spans="1:38" x14ac:dyDescent="0.25">
      <c r="A106" s="39">
        <v>130092</v>
      </c>
      <c r="B106" s="40" t="s">
        <v>365</v>
      </c>
      <c r="C106" s="40" t="s">
        <v>121</v>
      </c>
      <c r="D106" s="41" t="s">
        <v>121</v>
      </c>
      <c r="E106" s="42" t="s">
        <v>357</v>
      </c>
      <c r="F106" s="42" t="s">
        <v>361</v>
      </c>
      <c r="G106" s="26">
        <f t="shared" si="18"/>
        <v>26550.682384361662</v>
      </c>
      <c r="H106" s="26">
        <v>26396.5</v>
      </c>
      <c r="I106" s="43">
        <v>41450</v>
      </c>
      <c r="J106" s="43">
        <v>40610</v>
      </c>
      <c r="K106" s="44">
        <v>43012</v>
      </c>
      <c r="L106" s="43">
        <v>19803</v>
      </c>
      <c r="M106" s="44">
        <v>17303</v>
      </c>
      <c r="N106" s="44">
        <v>20325</v>
      </c>
      <c r="O106" s="43">
        <v>2210</v>
      </c>
      <c r="P106" s="44">
        <v>12405</v>
      </c>
      <c r="Q106" s="44">
        <v>2147</v>
      </c>
      <c r="R106" s="43">
        <v>9233</v>
      </c>
      <c r="S106" s="44">
        <v>12154</v>
      </c>
      <c r="T106" s="44">
        <v>229</v>
      </c>
      <c r="U106" s="45">
        <f t="shared" si="20"/>
        <v>42373.3</v>
      </c>
      <c r="V106" s="45">
        <f t="shared" si="21"/>
        <v>20024</v>
      </c>
      <c r="W106" s="45">
        <f>SUM(U106*'Factors &amp; Percentages'!$E$6+V106*'Factors &amp; Percentages'!$E$7)</f>
        <v>5432.0688681553729</v>
      </c>
      <c r="X106" s="46">
        <v>0.5</v>
      </c>
      <c r="Y106" s="45">
        <f>X106*'Factors &amp; Percentages'!$E$10</f>
        <v>7080.4846431548049</v>
      </c>
      <c r="Z106" s="47">
        <v>4.5780628384905216E-2</v>
      </c>
      <c r="AA106" s="45">
        <f>+'Factors &amp; Percentages'!E$13*Z106</f>
        <v>7630.4473817573626</v>
      </c>
      <c r="AB106" s="48">
        <v>20</v>
      </c>
      <c r="AC106" s="49">
        <v>75</v>
      </c>
      <c r="AD106" s="50">
        <v>8282</v>
      </c>
      <c r="AE106" s="45">
        <f>AB106*'Factors &amp; Percentages'!$E$16+AC106*'Factors &amp; Percentages'!$E$17+AD106*'Factors &amp; Percentages'!$E$18</f>
        <v>6407.6814912941227</v>
      </c>
      <c r="AF106" s="45">
        <f t="shared" si="22"/>
        <v>26550.682384361662</v>
      </c>
      <c r="AG106" s="51">
        <f t="shared" si="23"/>
        <v>26550.682384361662</v>
      </c>
      <c r="AH106" s="26">
        <f>IF($AL106&gt;$AF106,$AL106*(1+'Factors &amp; Percentages'!$B$3),
IF($AF106&gt;$AG106,$AG106,
IF($AF106&gt;$BOJ106,$AF106,
$AL106*(1+'Factors &amp; Percentages'!$B$3))))</f>
        <v>26550.682384361662</v>
      </c>
      <c r="AI106" s="26">
        <f>IF(+MIN(AH106,+X106*2*AK$1)-(AL106*(1+'Factors &amp; Percentages'!B$3))&gt;0,0,+MIN(AH106,+X106*2*AK$1)-(AL106*(1+'Factors &amp; Percentages'!B$3)))</f>
        <v>0</v>
      </c>
      <c r="AJ106" s="26">
        <f t="shared" si="19"/>
        <v>26550.682384361662</v>
      </c>
      <c r="AK106" s="51"/>
      <c r="AL106" s="52">
        <v>23350</v>
      </c>
    </row>
    <row r="107" spans="1:38" x14ac:dyDescent="0.25">
      <c r="A107" s="53">
        <v>130082</v>
      </c>
      <c r="B107" s="54" t="s">
        <v>313</v>
      </c>
      <c r="C107" s="54" t="s">
        <v>313</v>
      </c>
      <c r="D107" s="55" t="s">
        <v>122</v>
      </c>
      <c r="E107" s="56" t="s">
        <v>357</v>
      </c>
      <c r="F107" s="56" t="s">
        <v>361</v>
      </c>
      <c r="G107" s="64">
        <f t="shared" si="18"/>
        <v>40151.153203933412</v>
      </c>
      <c r="H107" s="64">
        <v>38193.508872512408</v>
      </c>
      <c r="I107" s="57">
        <v>66811</v>
      </c>
      <c r="J107" s="57">
        <v>66557</v>
      </c>
      <c r="K107" s="58">
        <v>74213</v>
      </c>
      <c r="L107" s="57">
        <v>18207</v>
      </c>
      <c r="M107" s="58">
        <v>15196</v>
      </c>
      <c r="N107" s="58">
        <v>24308</v>
      </c>
      <c r="O107" s="57">
        <v>45622</v>
      </c>
      <c r="P107" s="58">
        <v>7998</v>
      </c>
      <c r="Q107" s="58">
        <v>9702</v>
      </c>
      <c r="R107" s="57">
        <v>13855</v>
      </c>
      <c r="S107" s="58">
        <v>14073</v>
      </c>
      <c r="T107" s="58">
        <v>15362</v>
      </c>
      <c r="U107" s="59">
        <f t="shared" si="20"/>
        <v>68196.5</v>
      </c>
      <c r="V107" s="59">
        <f t="shared" si="21"/>
        <v>22769.200000000001</v>
      </c>
      <c r="W107" s="59">
        <f>SUM(U107*'Factors &amp; Percentages'!$E$6+V107*'Factors &amp; Percentages'!$E$7)</f>
        <v>8078.9393211503293</v>
      </c>
      <c r="X107" s="60">
        <v>1</v>
      </c>
      <c r="Y107" s="59">
        <f>X107*'Factors &amp; Percentages'!$E$10</f>
        <v>14160.96928630961</v>
      </c>
      <c r="Z107" s="61">
        <v>4.925259191764967E-2</v>
      </c>
      <c r="AA107" s="59">
        <f>+'Factors &amp; Percentages'!E$13*Z107</f>
        <v>8209.1339569010561</v>
      </c>
      <c r="AB107" s="62">
        <v>45</v>
      </c>
      <c r="AC107" s="85">
        <v>66</v>
      </c>
      <c r="AD107" s="63">
        <v>9034</v>
      </c>
      <c r="AE107" s="59">
        <f>AB107*'Factors &amp; Percentages'!$E$16+AC107*'Factors &amp; Percentages'!$E$17+AD107*'Factors &amp; Percentages'!$E$18</f>
        <v>9702.1106395724128</v>
      </c>
      <c r="AF107" s="59">
        <f t="shared" si="22"/>
        <v>40151.153203933412</v>
      </c>
      <c r="AG107" s="65">
        <f t="shared" si="23"/>
        <v>40151.153203933412</v>
      </c>
      <c r="AH107" s="64">
        <f>IF($AL107&gt;$AF107,$AL107*(1+'Factors &amp; Percentages'!$B$3),
IF($AF107&gt;$AG107,$AG107,
IF($AF107&gt;$BOJ107,$AF107,
$AL107*(1+'Factors &amp; Percentages'!$B$3))))</f>
        <v>40151.153203933412</v>
      </c>
      <c r="AI107" s="64">
        <f>IF(+MIN(AH107,+X107*2*AK$1)-(AL107*(1+'Factors &amp; Percentages'!B$3))&gt;0,0,+MIN(AH107,+X107*2*AK$1)-(AL107*(1+'Factors &amp; Percentages'!B$3)))</f>
        <v>0</v>
      </c>
      <c r="AJ107" s="64">
        <f t="shared" si="19"/>
        <v>40151.153203933412</v>
      </c>
      <c r="AK107" s="65"/>
      <c r="AL107" s="66">
        <v>23000</v>
      </c>
    </row>
    <row r="108" spans="1:38" x14ac:dyDescent="0.25">
      <c r="A108" s="39">
        <v>130048</v>
      </c>
      <c r="B108" s="40" t="s">
        <v>99</v>
      </c>
      <c r="C108" s="40" t="s">
        <v>99</v>
      </c>
      <c r="D108" s="41" t="s">
        <v>99</v>
      </c>
      <c r="E108" s="42" t="s">
        <v>357</v>
      </c>
      <c r="F108" s="42" t="s">
        <v>95</v>
      </c>
      <c r="G108" s="26">
        <f t="shared" si="18"/>
        <v>25922.46612282587</v>
      </c>
      <c r="H108" s="26">
        <v>23100</v>
      </c>
      <c r="I108" s="43">
        <v>57403</v>
      </c>
      <c r="J108" s="43">
        <v>48797</v>
      </c>
      <c r="K108" s="44">
        <v>49853</v>
      </c>
      <c r="L108" s="43">
        <v>7191</v>
      </c>
      <c r="M108" s="44">
        <v>1336</v>
      </c>
      <c r="N108" s="44">
        <v>4093</v>
      </c>
      <c r="O108" s="43">
        <v>329</v>
      </c>
      <c r="P108" s="44">
        <v>1520</v>
      </c>
      <c r="Q108" s="44">
        <v>2382</v>
      </c>
      <c r="R108" s="43">
        <v>2998</v>
      </c>
      <c r="S108" s="44">
        <v>745</v>
      </c>
      <c r="T108" s="44">
        <v>14663</v>
      </c>
      <c r="U108" s="45">
        <f t="shared" si="20"/>
        <v>57702.8</v>
      </c>
      <c r="V108" s="45">
        <f t="shared" si="21"/>
        <v>7223.9</v>
      </c>
      <c r="W108" s="45">
        <f>SUM(U108*'Factors &amp; Percentages'!$E$6+V108*'Factors &amp; Percentages'!$E$7)</f>
        <v>5990.9690039751149</v>
      </c>
      <c r="X108" s="46">
        <v>0.5</v>
      </c>
      <c r="Y108" s="45">
        <f>X108*'Factors &amp; Percentages'!$E$10</f>
        <v>7080.4846431548049</v>
      </c>
      <c r="Z108" s="47">
        <v>1.9066722087272201E-2</v>
      </c>
      <c r="AA108" s="45">
        <f>+'Factors &amp; Percentages'!E$13*Z108</f>
        <v>3177.9297218535253</v>
      </c>
      <c r="AB108" s="48">
        <v>48</v>
      </c>
      <c r="AC108" s="49">
        <v>71</v>
      </c>
      <c r="AD108" s="50">
        <v>6493</v>
      </c>
      <c r="AE108" s="45">
        <f>AB108*'Factors &amp; Percentages'!$E$16+AC108*'Factors &amp; Percentages'!$E$17+AD108*'Factors &amp; Percentages'!$E$18</f>
        <v>9673.0827538424273</v>
      </c>
      <c r="AF108" s="45">
        <f t="shared" si="22"/>
        <v>25922.46612282587</v>
      </c>
      <c r="AG108" s="51">
        <f t="shared" si="23"/>
        <v>25922.46612282587</v>
      </c>
      <c r="AH108" s="26">
        <f>IF($AL108&gt;$AF108,$AL108*(1+'Factors &amp; Percentages'!$B$3),
IF($AF108&gt;$AG108,$AG108,
IF($AF108&gt;$BOJ108,$AF108,
$AL108*(1+'Factors &amp; Percentages'!$B$3))))</f>
        <v>25922.46612282587</v>
      </c>
      <c r="AI108" s="26">
        <f>IF(+MIN(AH108,+X108*2*AK$1)-(AL108*(1+'Factors &amp; Percentages'!B$3))&gt;0,0,+MIN(AH108,+X108*2*AK$1)-(AL108*(1+'Factors &amp; Percentages'!B$3)))</f>
        <v>0</v>
      </c>
      <c r="AJ108" s="26">
        <f t="shared" si="19"/>
        <v>25922.46612282587</v>
      </c>
      <c r="AK108" s="51"/>
      <c r="AL108" s="52">
        <v>20000</v>
      </c>
    </row>
    <row r="109" spans="1:38" x14ac:dyDescent="0.25">
      <c r="A109" s="53">
        <v>130331</v>
      </c>
      <c r="B109" s="54" t="s">
        <v>419</v>
      </c>
      <c r="C109" s="54" t="s">
        <v>314</v>
      </c>
      <c r="D109" s="55" t="s">
        <v>147</v>
      </c>
      <c r="E109" s="56" t="s">
        <v>357</v>
      </c>
      <c r="F109" s="56" t="s">
        <v>362</v>
      </c>
      <c r="G109" s="64">
        <f t="shared" si="18"/>
        <v>8517.6</v>
      </c>
      <c r="H109" s="64">
        <v>9803.3000000000011</v>
      </c>
      <c r="I109" s="57">
        <v>13104</v>
      </c>
      <c r="J109" s="57">
        <v>15082</v>
      </c>
      <c r="K109" s="58">
        <v>14920</v>
      </c>
      <c r="L109" s="57">
        <v>9889</v>
      </c>
      <c r="M109" s="58">
        <v>10975</v>
      </c>
      <c r="N109" s="58">
        <v>8518</v>
      </c>
      <c r="O109" s="57">
        <v>10299</v>
      </c>
      <c r="P109" s="58">
        <v>9853</v>
      </c>
      <c r="Q109" s="58">
        <v>9356</v>
      </c>
      <c r="R109" s="57">
        <v>823</v>
      </c>
      <c r="S109" s="58">
        <v>2723</v>
      </c>
      <c r="T109" s="58">
        <v>4397</v>
      </c>
      <c r="U109" s="59">
        <f t="shared" si="20"/>
        <v>13186.3</v>
      </c>
      <c r="V109" s="59">
        <f t="shared" si="21"/>
        <v>10918.9</v>
      </c>
      <c r="W109" s="59">
        <f>SUM(U109*'Factors &amp; Percentages'!$E$6+V109*'Factors &amp; Percentages'!$E$7)</f>
        <v>2019.2972717972375</v>
      </c>
      <c r="X109" s="60">
        <v>1</v>
      </c>
      <c r="Y109" s="59">
        <f>X109*'Factors &amp; Percentages'!$E$10</f>
        <v>14160.96928630961</v>
      </c>
      <c r="Z109" s="61">
        <v>2.6314335260419819E-2</v>
      </c>
      <c r="AA109" s="59">
        <f>+'Factors &amp; Percentages'!E$13*Z109</f>
        <v>4385.9194963946884</v>
      </c>
      <c r="AB109" s="62">
        <v>16</v>
      </c>
      <c r="AC109" s="85">
        <v>25</v>
      </c>
      <c r="AD109" s="63">
        <v>8026</v>
      </c>
      <c r="AE109" s="59">
        <f>AB109*'Factors &amp; Percentages'!$E$16+AC109*'Factors &amp; Percentages'!$E$17+AD109*'Factors &amp; Percentages'!$E$18</f>
        <v>4546.8399834465963</v>
      </c>
      <c r="AF109" s="59">
        <f t="shared" si="22"/>
        <v>25113.026037948133</v>
      </c>
      <c r="AG109" s="65">
        <f t="shared" si="23"/>
        <v>8517.6</v>
      </c>
      <c r="AH109" s="64">
        <f>IF($AL109&gt;$AF109,$AL109*(1+'Factors &amp; Percentages'!$B$3),
IF($AF109&gt;$AG109,$AG109,
IF($AF109&gt;$BOJ109,$AF109,
$AL109*(1+'Factors &amp; Percentages'!$B$3))))</f>
        <v>8517.6</v>
      </c>
      <c r="AI109" s="64">
        <f>IF(+MIN(AH109,+X109*2*AK$1)-(AL109*(1+'Factors &amp; Percentages'!B$3))&gt;0,0,+MIN(AH109,+X109*2*AK$1)-(AL109*(1+'Factors &amp; Percentages'!B$3)))</f>
        <v>0</v>
      </c>
      <c r="AJ109" s="64">
        <f t="shared" si="19"/>
        <v>8517.6</v>
      </c>
      <c r="AK109" s="65"/>
      <c r="AL109" s="66">
        <v>5000</v>
      </c>
    </row>
    <row r="110" spans="1:38" x14ac:dyDescent="0.25">
      <c r="A110" s="39">
        <v>130099</v>
      </c>
      <c r="B110" s="40" t="s">
        <v>50</v>
      </c>
      <c r="C110" s="40" t="s">
        <v>315</v>
      </c>
      <c r="D110" s="69" t="s">
        <v>50</v>
      </c>
      <c r="E110" s="42" t="s">
        <v>357</v>
      </c>
      <c r="F110" s="42" t="s">
        <v>256</v>
      </c>
      <c r="G110" s="26">
        <f t="shared" si="18"/>
        <v>52173.555475392008</v>
      </c>
      <c r="H110" s="26">
        <v>44439.845185917569</v>
      </c>
      <c r="I110" s="43">
        <v>123070</v>
      </c>
      <c r="J110" s="43">
        <v>115493</v>
      </c>
      <c r="K110" s="44">
        <v>86634</v>
      </c>
      <c r="L110" s="43">
        <v>77366</v>
      </c>
      <c r="M110" s="44">
        <v>81725</v>
      </c>
      <c r="N110" s="44">
        <v>23995</v>
      </c>
      <c r="O110" s="43">
        <v>101987</v>
      </c>
      <c r="P110" s="44">
        <v>59885</v>
      </c>
      <c r="Q110" s="44">
        <v>25729</v>
      </c>
      <c r="R110" s="43">
        <v>14975</v>
      </c>
      <c r="S110" s="44">
        <v>11815</v>
      </c>
      <c r="T110" s="44">
        <v>428</v>
      </c>
      <c r="U110" s="45">
        <f t="shared" si="20"/>
        <v>124567.5</v>
      </c>
      <c r="V110" s="45">
        <f t="shared" si="21"/>
        <v>87564.7</v>
      </c>
      <c r="W110" s="45">
        <f>SUM(U110*'Factors &amp; Percentages'!$E$6+V110*'Factors &amp; Percentages'!$E$7)</f>
        <v>17982.469999803474</v>
      </c>
      <c r="X110" s="46">
        <v>1</v>
      </c>
      <c r="Y110" s="45">
        <f>X110*'Factors &amp; Percentages'!$E$10</f>
        <v>14160.96928630961</v>
      </c>
      <c r="Z110" s="47">
        <v>3.3048455645667676E-2</v>
      </c>
      <c r="AA110" s="45">
        <f>+'Factors &amp; Percentages'!E$13*Z110</f>
        <v>5508.3232963170994</v>
      </c>
      <c r="AB110" s="48">
        <v>77</v>
      </c>
      <c r="AC110" s="49">
        <v>77</v>
      </c>
      <c r="AD110" s="50">
        <v>10142</v>
      </c>
      <c r="AE110" s="45">
        <f>AB110*'Factors &amp; Percentages'!$E$16+AC110*'Factors &amp; Percentages'!$E$17+AD110*'Factors &amp; Percentages'!$E$18</f>
        <v>14521.792892961827</v>
      </c>
      <c r="AF110" s="45">
        <f t="shared" si="22"/>
        <v>52173.555475392008</v>
      </c>
      <c r="AG110" s="51">
        <f t="shared" si="23"/>
        <v>52173.555475392008</v>
      </c>
      <c r="AH110" s="26">
        <f>IF($AL110&gt;$AF110,$AL110*(1+'Factors &amp; Percentages'!$B$3),
IF($AF110&gt;$AG110,$AG110,
IF($AF110&gt;$BOJ110,$AF110,
$AL110*(1+'Factors &amp; Percentages'!$B$3))))</f>
        <v>52173.555475392008</v>
      </c>
      <c r="AI110" s="26">
        <f>IF(+MIN(AH110,+X110*2*AK$1)-(AL110*(1+'Factors &amp; Percentages'!B$3))&gt;0,0,+MIN(AH110,+X110*2*AK$1)-(AL110*(1+'Factors &amp; Percentages'!B$3)))</f>
        <v>0</v>
      </c>
      <c r="AJ110" s="26">
        <f t="shared" si="19"/>
        <v>52173.555475392008</v>
      </c>
      <c r="AK110" s="51"/>
      <c r="AL110" s="52">
        <v>40023</v>
      </c>
    </row>
    <row r="111" spans="1:38" hidden="1" x14ac:dyDescent="0.25">
      <c r="A111" s="53">
        <v>130194</v>
      </c>
      <c r="B111" s="54" t="s">
        <v>168</v>
      </c>
      <c r="C111" s="54" t="s">
        <v>168</v>
      </c>
      <c r="D111" s="55" t="s">
        <v>168</v>
      </c>
      <c r="E111" s="56" t="s">
        <v>237</v>
      </c>
      <c r="F111" s="56" t="s">
        <v>237</v>
      </c>
      <c r="G111" s="64">
        <f t="shared" si="18"/>
        <v>9556.9500000000007</v>
      </c>
      <c r="H111" s="64">
        <v>11431.550000000001</v>
      </c>
      <c r="I111" s="57">
        <v>14703</v>
      </c>
      <c r="J111" s="57">
        <v>17587</v>
      </c>
      <c r="K111" s="58">
        <v>15603</v>
      </c>
      <c r="L111" s="57">
        <v>8877</v>
      </c>
      <c r="M111" s="58">
        <v>13130</v>
      </c>
      <c r="N111" s="58">
        <v>13165</v>
      </c>
      <c r="O111" s="57">
        <v>13761</v>
      </c>
      <c r="P111" s="58">
        <v>12092</v>
      </c>
      <c r="Q111" s="58">
        <v>12092</v>
      </c>
      <c r="R111" s="57">
        <v>411</v>
      </c>
      <c r="S111" s="58">
        <v>0</v>
      </c>
      <c r="T111" s="58">
        <v>0</v>
      </c>
      <c r="U111" s="59">
        <f t="shared" si="20"/>
        <v>14744.1</v>
      </c>
      <c r="V111" s="59">
        <f t="shared" si="21"/>
        <v>10253.1</v>
      </c>
      <c r="W111" s="59">
        <f>SUM(U111*'Factors &amp; Percentages'!$E$6+V111*'Factors &amp; Percentages'!$E$7)</f>
        <v>2120.6411213774909</v>
      </c>
      <c r="X111" s="60">
        <v>0.5</v>
      </c>
      <c r="Y111" s="59">
        <f>X111*'Factors &amp; Percentages'!$E$10</f>
        <v>7080.4846431548049</v>
      </c>
      <c r="Z111" s="61">
        <v>5.305687166073314E-2</v>
      </c>
      <c r="AA111" s="59">
        <f>+'Factors &amp; Percentages'!E$13*Z111</f>
        <v>8843.2090543642244</v>
      </c>
      <c r="AB111" s="62">
        <v>15</v>
      </c>
      <c r="AC111" s="85">
        <v>28</v>
      </c>
      <c r="AD111" s="63">
        <v>1676</v>
      </c>
      <c r="AE111" s="59">
        <f>AB111*'Factors &amp; Percentages'!$E$16+AC111*'Factors &amp; Percentages'!$E$17+AD111*'Factors &amp; Percentages'!$E$18</f>
        <v>3092.5534612518941</v>
      </c>
      <c r="AF111" s="59">
        <f t="shared" si="22"/>
        <v>21136.888280148411</v>
      </c>
      <c r="AG111" s="65">
        <f t="shared" si="23"/>
        <v>9556.9500000000007</v>
      </c>
      <c r="AH111" s="64">
        <f>IF($AL111&gt;$AF111,$AL111*(1+'Factors &amp; Percentages'!$B$3),
IF($AF111&gt;$AG111,$AG111,
IF($AF111&gt;$BOJ111,$AF111,
$AL111*(1+'Factors &amp; Percentages'!$B$3))))</f>
        <v>9556.9500000000007</v>
      </c>
      <c r="AI111" s="64">
        <f>IF(+MIN(AH111,+X111*2*AK$1)-(AL111*(1+'Factors &amp; Percentages'!B$3))&gt;0,0,+MIN(AH111,+X111*2*AK$1)-(AL111*(1+'Factors &amp; Percentages'!B$3)))</f>
        <v>0</v>
      </c>
      <c r="AJ111" s="64">
        <f t="shared" si="19"/>
        <v>9556.9500000000007</v>
      </c>
      <c r="AK111" s="65"/>
      <c r="AL111" s="66">
        <v>7000</v>
      </c>
    </row>
    <row r="112" spans="1:38" hidden="1" x14ac:dyDescent="0.25">
      <c r="A112" s="39">
        <v>130244</v>
      </c>
      <c r="B112" s="40" t="s">
        <v>68</v>
      </c>
      <c r="C112" s="40" t="s">
        <v>68</v>
      </c>
      <c r="D112" s="41" t="s">
        <v>68</v>
      </c>
      <c r="E112" s="42" t="s">
        <v>237</v>
      </c>
      <c r="F112" s="42" t="s">
        <v>360</v>
      </c>
      <c r="G112" s="26">
        <f t="shared" si="18"/>
        <v>35205.444777624172</v>
      </c>
      <c r="H112" s="26">
        <v>40593.15</v>
      </c>
      <c r="I112" s="43">
        <v>61064</v>
      </c>
      <c r="J112" s="43">
        <v>62451</v>
      </c>
      <c r="K112" s="44">
        <v>58133</v>
      </c>
      <c r="L112" s="43">
        <v>14277</v>
      </c>
      <c r="M112" s="44">
        <v>18955</v>
      </c>
      <c r="N112" s="44">
        <v>11182</v>
      </c>
      <c r="O112" s="43">
        <v>11017</v>
      </c>
      <c r="P112" s="44">
        <v>11247</v>
      </c>
      <c r="Q112" s="44">
        <v>13845</v>
      </c>
      <c r="R112" s="43">
        <v>1694</v>
      </c>
      <c r="S112" s="44">
        <v>38</v>
      </c>
      <c r="T112" s="44">
        <v>50</v>
      </c>
      <c r="U112" s="45">
        <f t="shared" si="20"/>
        <v>61233.4</v>
      </c>
      <c r="V112" s="45">
        <f t="shared" si="21"/>
        <v>15378.7</v>
      </c>
      <c r="W112" s="45">
        <f>SUM(U112*'Factors &amp; Percentages'!$E$6+V112*'Factors &amp; Percentages'!$E$7)</f>
        <v>6898.6505524353179</v>
      </c>
      <c r="X112" s="46">
        <v>0.4</v>
      </c>
      <c r="Y112" s="45">
        <f>X112*'Factors &amp; Percentages'!$E$10</f>
        <v>5664.3877145238439</v>
      </c>
      <c r="Z112" s="47">
        <v>8.4586625162829249E-2</v>
      </c>
      <c r="AA112" s="45">
        <f>+'Factors &amp; Percentages'!E$13*Z112</f>
        <v>14098.403959833244</v>
      </c>
      <c r="AB112" s="48">
        <v>44</v>
      </c>
      <c r="AC112" s="49">
        <v>73</v>
      </c>
      <c r="AD112" s="50">
        <v>3570</v>
      </c>
      <c r="AE112" s="45">
        <f>AB112*'Factors &amp; Percentages'!$E$16+AC112*'Factors &amp; Percentages'!$E$17+AD112*'Factors &amp; Percentages'!$E$18</f>
        <v>8544.0025508317631</v>
      </c>
      <c r="AF112" s="45">
        <f t="shared" si="22"/>
        <v>35205.444777624172</v>
      </c>
      <c r="AG112" s="51">
        <f t="shared" si="23"/>
        <v>35205.444777624172</v>
      </c>
      <c r="AH112" s="26">
        <f>IF($AL112&gt;$AF112,$AL112*(1+'Factors &amp; Percentages'!$B$3),
IF($AF112&gt;$AG112,$AG112,
IF($AF112&gt;$BOJ112,$AF112,
$AL112*(1+'Factors &amp; Percentages'!$B$3))))</f>
        <v>35205.444777624172</v>
      </c>
      <c r="AI112" s="26">
        <f>IF(+MIN(AH112,+X112*2*AK$1)-(AL112*(1+'Factors &amp; Percentages'!B$3))&gt;0,0,+MIN(AH112,+X112*2*AK$1)-(AL112*(1+'Factors &amp; Percentages'!B$3)))</f>
        <v>0</v>
      </c>
      <c r="AJ112" s="26">
        <f t="shared" si="19"/>
        <v>35205.444777624172</v>
      </c>
      <c r="AK112" s="51"/>
      <c r="AL112" s="52">
        <v>31000</v>
      </c>
    </row>
    <row r="113" spans="1:38" hidden="1" x14ac:dyDescent="0.25">
      <c r="A113" s="53">
        <v>130245</v>
      </c>
      <c r="B113" s="54" t="s">
        <v>37</v>
      </c>
      <c r="C113" s="54" t="s">
        <v>37</v>
      </c>
      <c r="D113" s="55" t="s">
        <v>37</v>
      </c>
      <c r="E113" s="56" t="s">
        <v>237</v>
      </c>
      <c r="F113" s="56" t="s">
        <v>239</v>
      </c>
      <c r="G113" s="64">
        <f t="shared" si="18"/>
        <v>24072.449020611861</v>
      </c>
      <c r="H113" s="64">
        <v>9515.35</v>
      </c>
      <c r="I113" s="57">
        <v>28975</v>
      </c>
      <c r="J113" s="57">
        <v>14639</v>
      </c>
      <c r="K113" s="58">
        <v>14591</v>
      </c>
      <c r="L113" s="57">
        <v>23530</v>
      </c>
      <c r="M113" s="58">
        <v>4260</v>
      </c>
      <c r="N113" s="58">
        <v>23642</v>
      </c>
      <c r="O113" s="57">
        <v>143477</v>
      </c>
      <c r="P113" s="58">
        <v>144160</v>
      </c>
      <c r="Q113" s="58">
        <v>0</v>
      </c>
      <c r="R113" s="57">
        <v>6212</v>
      </c>
      <c r="S113" s="58">
        <v>4475</v>
      </c>
      <c r="T113" s="58">
        <v>0</v>
      </c>
      <c r="U113" s="59">
        <f t="shared" si="20"/>
        <v>29596.2</v>
      </c>
      <c r="V113" s="59">
        <f t="shared" si="21"/>
        <v>37877.699999999997</v>
      </c>
      <c r="W113" s="59">
        <f>SUM(U113*'Factors &amp; Percentages'!$E$6+V113*'Factors &amp; Percentages'!$E$7)</f>
        <v>5470.3052767496583</v>
      </c>
      <c r="X113" s="60">
        <v>0.25</v>
      </c>
      <c r="Y113" s="59">
        <f>X113*'Factors &amp; Percentages'!$E$10</f>
        <v>3540.2423215774024</v>
      </c>
      <c r="Z113" s="61">
        <v>6.5531228907135697E-2</v>
      </c>
      <c r="AA113" s="59">
        <f>+'Factors &amp; Percentages'!E$13*Z113</f>
        <v>10922.361961345787</v>
      </c>
      <c r="AB113" s="62">
        <v>18</v>
      </c>
      <c r="AC113" s="85">
        <v>61</v>
      </c>
      <c r="AD113" s="63">
        <v>801</v>
      </c>
      <c r="AE113" s="59">
        <f>AB113*'Factors &amp; Percentages'!$E$16+AC113*'Factors &amp; Percentages'!$E$17+AD113*'Factors &amp; Percentages'!$E$18</f>
        <v>4139.5394609390123</v>
      </c>
      <c r="AF113" s="59">
        <f t="shared" si="22"/>
        <v>24072.449020611861</v>
      </c>
      <c r="AG113" s="65">
        <f t="shared" si="23"/>
        <v>24072.449020611861</v>
      </c>
      <c r="AH113" s="64">
        <f>IF($AL113&gt;$AF113,$AL113*(1+'Factors &amp; Percentages'!$B$3),
IF($AF113&gt;$AG113,$AG113,
IF($AF113&gt;$BOJ113,$AF113,
$AL113*(1+'Factors &amp; Percentages'!$B$3))))</f>
        <v>24072.449020611861</v>
      </c>
      <c r="AI113" s="64">
        <f>IF(+MIN(AH113,+X113*2*AK$1)-(AL113*(1+'Factors &amp; Percentages'!B$3))&gt;0,0,+MIN(AH113,+X113*2*AK$1)-(AL113*(1+'Factors &amp; Percentages'!B$3)))</f>
        <v>0</v>
      </c>
      <c r="AJ113" s="64">
        <f t="shared" si="19"/>
        <v>24072.449020611861</v>
      </c>
      <c r="AK113" s="65"/>
      <c r="AL113" s="66">
        <v>4000</v>
      </c>
    </row>
    <row r="114" spans="1:38" x14ac:dyDescent="0.25">
      <c r="A114" s="39">
        <v>130117</v>
      </c>
      <c r="B114" s="40" t="s">
        <v>316</v>
      </c>
      <c r="C114" s="40" t="s">
        <v>316</v>
      </c>
      <c r="D114" s="41" t="s">
        <v>149</v>
      </c>
      <c r="E114" s="42" t="s">
        <v>357</v>
      </c>
      <c r="F114" s="42" t="s">
        <v>362</v>
      </c>
      <c r="G114" s="26">
        <f t="shared" si="18"/>
        <v>61559.55</v>
      </c>
      <c r="H114" s="26">
        <v>52466.05</v>
      </c>
      <c r="I114" s="43">
        <v>94707</v>
      </c>
      <c r="J114" s="43">
        <v>80717</v>
      </c>
      <c r="K114" s="44">
        <v>85024</v>
      </c>
      <c r="L114" s="43">
        <v>57698</v>
      </c>
      <c r="M114" s="44">
        <v>42655</v>
      </c>
      <c r="N114" s="44">
        <v>41531</v>
      </c>
      <c r="O114" s="43">
        <v>288724</v>
      </c>
      <c r="P114" s="44">
        <v>299654</v>
      </c>
      <c r="Q114" s="44">
        <v>319141</v>
      </c>
      <c r="R114" s="43">
        <v>14080</v>
      </c>
      <c r="S114" s="44">
        <v>22378</v>
      </c>
      <c r="T114" s="44">
        <v>54239</v>
      </c>
      <c r="U114" s="45">
        <f t="shared" si="20"/>
        <v>96115</v>
      </c>
      <c r="V114" s="45">
        <f t="shared" si="21"/>
        <v>86570.4</v>
      </c>
      <c r="W114" s="45">
        <f>SUM(U114*'Factors &amp; Percentages'!$E$6+V114*'Factors &amp; Percentages'!$E$7)</f>
        <v>15208.547910685502</v>
      </c>
      <c r="X114" s="46">
        <v>2</v>
      </c>
      <c r="Y114" s="45">
        <f>X114*'Factors &amp; Percentages'!$E$10</f>
        <v>28321.938572619219</v>
      </c>
      <c r="Z114" s="47">
        <v>2.6055033441635424E-2</v>
      </c>
      <c r="AA114" s="45">
        <f>+'Factors &amp; Percentages'!E$13*Z114</f>
        <v>4342.7005858198245</v>
      </c>
      <c r="AB114" s="48">
        <v>85</v>
      </c>
      <c r="AC114" s="49">
        <v>100</v>
      </c>
      <c r="AD114" s="50">
        <v>22382</v>
      </c>
      <c r="AE114" s="45">
        <f>AB114*'Factors &amp; Percentages'!$E$16+AC114*'Factors &amp; Percentages'!$E$17+AD114*'Factors &amp; Percentages'!$E$18</f>
        <v>18870.065294024818</v>
      </c>
      <c r="AF114" s="45">
        <f t="shared" si="22"/>
        <v>66743.252363149368</v>
      </c>
      <c r="AG114" s="51">
        <f t="shared" si="23"/>
        <v>61559.55</v>
      </c>
      <c r="AH114" s="26">
        <f>IF($AL114&gt;$AF114,$AL114*(1+'Factors &amp; Percentages'!$B$3),
IF($AF114&gt;$AG114,$AG114,
IF($AF114&gt;$BOJ114,$AF114,
$AL114*(1+'Factors &amp; Percentages'!$B$3))))</f>
        <v>61559.55</v>
      </c>
      <c r="AI114" s="26">
        <f>IF(+MIN(AH114,+X114*2*AK$1)-(AL114*(1+'Factors &amp; Percentages'!B$3))&gt;0,0,+MIN(AH114,+X114*2*AK$1)-(AL114*(1+'Factors &amp; Percentages'!B$3)))</f>
        <v>0</v>
      </c>
      <c r="AJ114" s="26">
        <f t="shared" si="19"/>
        <v>61559.55</v>
      </c>
      <c r="AK114" s="51"/>
      <c r="AL114" s="52">
        <v>20000</v>
      </c>
    </row>
    <row r="115" spans="1:38" x14ac:dyDescent="0.25">
      <c r="A115" s="53">
        <v>130121</v>
      </c>
      <c r="B115" s="54" t="s">
        <v>148</v>
      </c>
      <c r="C115" s="54" t="s">
        <v>148</v>
      </c>
      <c r="D115" s="55" t="s">
        <v>148</v>
      </c>
      <c r="E115" s="56" t="s">
        <v>357</v>
      </c>
      <c r="F115" s="56" t="s">
        <v>362</v>
      </c>
      <c r="G115" s="64">
        <f t="shared" si="18"/>
        <v>15645.118644428398</v>
      </c>
      <c r="H115" s="64">
        <v>13320.620720598788</v>
      </c>
      <c r="I115" s="57">
        <v>24678</v>
      </c>
      <c r="J115" s="57">
        <v>23411</v>
      </c>
      <c r="K115" s="58">
        <v>21424</v>
      </c>
      <c r="L115" s="57">
        <v>27334</v>
      </c>
      <c r="M115" s="58">
        <v>27918</v>
      </c>
      <c r="N115" s="58">
        <v>3525</v>
      </c>
      <c r="O115" s="57">
        <v>27334</v>
      </c>
      <c r="P115" s="58">
        <v>0</v>
      </c>
      <c r="Q115" s="58">
        <v>0</v>
      </c>
      <c r="R115" s="57">
        <v>528</v>
      </c>
      <c r="S115" s="58">
        <v>0</v>
      </c>
      <c r="T115" s="58">
        <v>0</v>
      </c>
      <c r="U115" s="59">
        <f t="shared" si="20"/>
        <v>24730.799999999999</v>
      </c>
      <c r="V115" s="59">
        <f t="shared" si="21"/>
        <v>30067.4</v>
      </c>
      <c r="W115" s="59">
        <f>SUM(U115*'Factors &amp; Percentages'!$E$6+V115*'Factors &amp; Percentages'!$E$7)</f>
        <v>4459.9321660957221</v>
      </c>
      <c r="X115" s="60">
        <v>0.25</v>
      </c>
      <c r="Y115" s="59">
        <f>X115*'Factors &amp; Percentages'!$E$10</f>
        <v>3540.2423215774024</v>
      </c>
      <c r="Z115" s="61">
        <v>2.7404618226263489E-2</v>
      </c>
      <c r="AA115" s="59">
        <f>+'Factors &amp; Percentages'!E$13*Z115</f>
        <v>4567.6414843969224</v>
      </c>
      <c r="AB115" s="62">
        <v>12</v>
      </c>
      <c r="AC115" s="85">
        <v>25</v>
      </c>
      <c r="AD115" s="63">
        <v>3785</v>
      </c>
      <c r="AE115" s="59">
        <f>AB115*'Factors &amp; Percentages'!$E$16+AC115*'Factors &amp; Percentages'!$E$17+AD115*'Factors &amp; Percentages'!$E$18</f>
        <v>3077.3026723583516</v>
      </c>
      <c r="AF115" s="59">
        <f t="shared" si="22"/>
        <v>15645.118644428398</v>
      </c>
      <c r="AG115" s="65">
        <f t="shared" si="23"/>
        <v>15645.118644428398</v>
      </c>
      <c r="AH115" s="64">
        <f>IF($AL115&gt;$AF115,$AL115*(1+'Factors &amp; Percentages'!$B$3),
IF($AF115&gt;$AG115,$AG115,
IF($AF115&gt;$BOJ115,$AF115,
$AL115*(1+'Factors &amp; Percentages'!$B$3))))</f>
        <v>15645.118644428398</v>
      </c>
      <c r="AI115" s="64">
        <f>IF(+MIN(AH115,+X115*2*AK$1)-(AL115*(1+'Factors &amp; Percentages'!B$3))&gt;0,0,+MIN(AH115,+X115*2*AK$1)-(AL115*(1+'Factors &amp; Percentages'!B$3)))</f>
        <v>0</v>
      </c>
      <c r="AJ115" s="64">
        <f t="shared" si="19"/>
        <v>15645.118644428398</v>
      </c>
      <c r="AK115" s="65"/>
      <c r="AL115" s="66">
        <v>5000</v>
      </c>
    </row>
    <row r="116" spans="1:38" hidden="1" x14ac:dyDescent="0.25">
      <c r="A116" s="39">
        <v>130275</v>
      </c>
      <c r="B116" s="40" t="s">
        <v>317</v>
      </c>
      <c r="C116" s="40" t="s">
        <v>317</v>
      </c>
      <c r="D116" s="41" t="s">
        <v>207</v>
      </c>
      <c r="E116" s="42" t="s">
        <v>356</v>
      </c>
      <c r="F116" s="42" t="s">
        <v>356</v>
      </c>
      <c r="G116" s="26">
        <f t="shared" si="18"/>
        <v>16564.176411771976</v>
      </c>
      <c r="H116" s="26">
        <v>14175</v>
      </c>
      <c r="I116" s="43">
        <v>25258</v>
      </c>
      <c r="J116" s="43">
        <v>23301</v>
      </c>
      <c r="K116" s="44">
        <v>18995</v>
      </c>
      <c r="L116" s="43">
        <v>37151</v>
      </c>
      <c r="M116" s="44">
        <v>37616</v>
      </c>
      <c r="N116" s="44">
        <v>34147</v>
      </c>
      <c r="O116" s="43">
        <v>0</v>
      </c>
      <c r="P116" s="44">
        <v>0</v>
      </c>
      <c r="Q116" s="44">
        <v>0</v>
      </c>
      <c r="R116" s="43">
        <v>0</v>
      </c>
      <c r="S116" s="44">
        <v>0</v>
      </c>
      <c r="T116" s="44">
        <v>513</v>
      </c>
      <c r="U116" s="45">
        <f t="shared" si="20"/>
        <v>25258</v>
      </c>
      <c r="V116" s="45">
        <f t="shared" si="21"/>
        <v>37151</v>
      </c>
      <c r="W116" s="45">
        <f>SUM(U116*'Factors &amp; Percentages'!$E$6+V116*'Factors &amp; Percentages'!$E$7)</f>
        <v>5007.0127830510182</v>
      </c>
      <c r="X116" s="46">
        <v>0.25</v>
      </c>
      <c r="Y116" s="45">
        <f>X116*'Factors &amp; Percentages'!$E$10</f>
        <v>3540.2423215774024</v>
      </c>
      <c r="Z116" s="47">
        <v>2.631952961736668E-2</v>
      </c>
      <c r="AA116" s="45">
        <f>+'Factors &amp; Percentages'!E$13*Z116</f>
        <v>4386.7852614303238</v>
      </c>
      <c r="AB116" s="48">
        <v>20</v>
      </c>
      <c r="AC116" s="49">
        <v>25</v>
      </c>
      <c r="AD116" s="50">
        <v>1413</v>
      </c>
      <c r="AE116" s="45">
        <f>AB116*'Factors &amp; Percentages'!$E$16+AC116*'Factors &amp; Percentages'!$E$17+AD116*'Factors &amp; Percentages'!$E$18</f>
        <v>3630.1360457132319</v>
      </c>
      <c r="AF116" s="45">
        <f t="shared" si="22"/>
        <v>16564.176411771976</v>
      </c>
      <c r="AG116" s="51">
        <f t="shared" si="23"/>
        <v>16564.176411771976</v>
      </c>
      <c r="AH116" s="26">
        <f>IF($AL116&gt;$AF116,$AL116*(1+'Factors &amp; Percentages'!$B$3),
IF($AF116&gt;$AG116,$AG116,
IF($AF116&gt;$BOJ116,$AF116,
$AL116*(1+'Factors &amp; Percentages'!$B$3))))</f>
        <v>16564.176411771976</v>
      </c>
      <c r="AI116" s="26">
        <f>IF(+MIN(AH116,+X116*2*AK$1)-(AL116*(1+'Factors &amp; Percentages'!B$3))&gt;0,0,+MIN(AH116,+X116*2*AK$1)-(AL116*(1+'Factors &amp; Percentages'!B$3)))</f>
        <v>0</v>
      </c>
      <c r="AJ116" s="26">
        <f t="shared" si="19"/>
        <v>16564.176411771976</v>
      </c>
      <c r="AK116" s="51"/>
      <c r="AL116" s="52">
        <v>0</v>
      </c>
    </row>
    <row r="117" spans="1:38" hidden="1" x14ac:dyDescent="0.25">
      <c r="A117" s="53">
        <v>130028</v>
      </c>
      <c r="B117" s="54" t="s">
        <v>85</v>
      </c>
      <c r="C117" s="54" t="s">
        <v>85</v>
      </c>
      <c r="D117" s="55" t="s">
        <v>85</v>
      </c>
      <c r="E117" s="56" t="s">
        <v>356</v>
      </c>
      <c r="F117" s="56" t="s">
        <v>356</v>
      </c>
      <c r="G117" s="64">
        <f t="shared" si="18"/>
        <v>11553.75</v>
      </c>
      <c r="H117" s="64">
        <v>12492.35</v>
      </c>
      <c r="I117" s="57">
        <v>17775</v>
      </c>
      <c r="J117" s="57">
        <v>19219</v>
      </c>
      <c r="K117" s="58">
        <v>17583</v>
      </c>
      <c r="L117" s="57">
        <v>3206</v>
      </c>
      <c r="M117" s="58">
        <v>5217</v>
      </c>
      <c r="N117" s="58">
        <v>6533</v>
      </c>
      <c r="O117" s="57">
        <v>0</v>
      </c>
      <c r="P117" s="58">
        <v>0</v>
      </c>
      <c r="Q117" s="58">
        <v>0</v>
      </c>
      <c r="R117" s="57">
        <v>0</v>
      </c>
      <c r="S117" s="58">
        <v>0</v>
      </c>
      <c r="T117" s="58">
        <v>0</v>
      </c>
      <c r="U117" s="59">
        <f t="shared" si="20"/>
        <v>17775</v>
      </c>
      <c r="V117" s="59">
        <f t="shared" si="21"/>
        <v>3206</v>
      </c>
      <c r="W117" s="59">
        <f>SUM(U117*'Factors &amp; Percentages'!$E$6+V117*'Factors &amp; Percentages'!$E$7)</f>
        <v>1914.2878513429287</v>
      </c>
      <c r="X117" s="60">
        <v>0.33333333333333331</v>
      </c>
      <c r="Y117" s="59">
        <f>X117*'Factors &amp; Percentages'!$E$10</f>
        <v>4720.3230954365363</v>
      </c>
      <c r="Z117" s="61">
        <v>3.5676825047985333E-2</v>
      </c>
      <c r="AA117" s="59">
        <f>+'Factors &amp; Percentages'!E$13*Z117</f>
        <v>5946.4045357353561</v>
      </c>
      <c r="AB117" s="62">
        <v>16</v>
      </c>
      <c r="AC117" s="85">
        <v>28</v>
      </c>
      <c r="AD117" s="63">
        <v>1490</v>
      </c>
      <c r="AE117" s="59">
        <f>AB117*'Factors &amp; Percentages'!$E$16+AC117*'Factors &amp; Percentages'!$E$17+AD117*'Factors &amp; Percentages'!$E$18</f>
        <v>3185.9509494860954</v>
      </c>
      <c r="AF117" s="59">
        <f t="shared" si="22"/>
        <v>15766.966432000916</v>
      </c>
      <c r="AG117" s="65">
        <f t="shared" si="23"/>
        <v>11553.75</v>
      </c>
      <c r="AH117" s="64">
        <f>IF($AL117&gt;$AF117,$AL117*(1+'Factors &amp; Percentages'!$B$3),
IF($AF117&gt;$AG117,$AG117,
IF($AF117&gt;$BOJ117,$AF117,
$AL117*(1+'Factors &amp; Percentages'!$B$3))))</f>
        <v>11553.75</v>
      </c>
      <c r="AI117" s="64">
        <f>IF(+MIN(AH117,+X117*2*AK$1)-(AL117*(1+'Factors &amp; Percentages'!B$3))&gt;0,0,+MIN(AH117,+X117*2*AK$1)-(AL117*(1+'Factors &amp; Percentages'!B$3)))</f>
        <v>0</v>
      </c>
      <c r="AJ117" s="64">
        <f t="shared" si="19"/>
        <v>11553.75</v>
      </c>
      <c r="AK117" s="65"/>
      <c r="AL117" s="66">
        <v>10200</v>
      </c>
    </row>
    <row r="118" spans="1:38" x14ac:dyDescent="0.25">
      <c r="A118" s="39">
        <v>130077</v>
      </c>
      <c r="B118" s="40" t="s">
        <v>115</v>
      </c>
      <c r="C118" s="40" t="s">
        <v>115</v>
      </c>
      <c r="D118" s="41" t="s">
        <v>115</v>
      </c>
      <c r="E118" s="42" t="s">
        <v>357</v>
      </c>
      <c r="F118" s="42" t="s">
        <v>359</v>
      </c>
      <c r="G118" s="26">
        <f t="shared" si="18"/>
        <v>24969.020753442885</v>
      </c>
      <c r="H118" s="26">
        <v>23987.25</v>
      </c>
      <c r="I118" s="43">
        <v>66750</v>
      </c>
      <c r="J118" s="43">
        <v>43632</v>
      </c>
      <c r="K118" s="44">
        <v>39576</v>
      </c>
      <c r="L118" s="43">
        <v>51549</v>
      </c>
      <c r="M118" s="44">
        <v>63408.4</v>
      </c>
      <c r="N118" s="44">
        <v>52239</v>
      </c>
      <c r="O118" s="43">
        <v>35146</v>
      </c>
      <c r="P118" s="44">
        <v>6816.1399999999994</v>
      </c>
      <c r="Q118" s="44">
        <v>3871</v>
      </c>
      <c r="R118" s="43">
        <v>15498</v>
      </c>
      <c r="S118" s="44">
        <v>1076</v>
      </c>
      <c r="T118" s="44">
        <v>47</v>
      </c>
      <c r="U118" s="45">
        <f t="shared" si="20"/>
        <v>68299.8</v>
      </c>
      <c r="V118" s="45">
        <f t="shared" si="21"/>
        <v>55063.6</v>
      </c>
      <c r="W118" s="45">
        <f>SUM(U118*'Factors &amp; Percentages'!$E$6+V118*'Factors &amp; Percentages'!$E$7)</f>
        <v>10354.484101567778</v>
      </c>
      <c r="X118" s="46">
        <v>0.2</v>
      </c>
      <c r="Y118" s="45">
        <f>X118*'Factors &amp; Percentages'!$E$10</f>
        <v>2832.1938572619219</v>
      </c>
      <c r="Z118" s="47">
        <v>4.5251530633023659E-2</v>
      </c>
      <c r="AA118" s="45">
        <f>+'Factors &amp; Percentages'!E$13*Z118</f>
        <v>7542.2604630109718</v>
      </c>
      <c r="AB118" s="48">
        <v>21</v>
      </c>
      <c r="AC118" s="49">
        <v>0</v>
      </c>
      <c r="AD118" s="50">
        <v>6459</v>
      </c>
      <c r="AE118" s="45">
        <f>AB118*'Factors &amp; Percentages'!$E$16+AC118*'Factors &amp; Percentages'!$E$17+AD118*'Factors &amp; Percentages'!$E$18</f>
        <v>4240.0823316022124</v>
      </c>
      <c r="AF118" s="45">
        <f t="shared" si="22"/>
        <v>24969.020753442885</v>
      </c>
      <c r="AG118" s="51">
        <f t="shared" si="23"/>
        <v>24969.020753442885</v>
      </c>
      <c r="AH118" s="26">
        <f>IF($AL118&gt;$AF118,$AL118*(1+'Factors &amp; Percentages'!$B$3),
IF($AF118&gt;$AG118,$AG118,
IF($AF118&gt;$BOJ118,$AF118,
$AL118*(1+'Factors &amp; Percentages'!$B$3))))</f>
        <v>24969.020753442885</v>
      </c>
      <c r="AI118" s="26">
        <f>IF(+MIN(AH118,+X118*2*AK$1)-(AL118*(1+'Factors &amp; Percentages'!B$3))&gt;0,0,+MIN(AH118,+X118*2*AK$1)-(AL118*(1+'Factors &amp; Percentages'!B$3)))</f>
        <v>0</v>
      </c>
      <c r="AJ118" s="26">
        <f t="shared" si="19"/>
        <v>24969.020753442885</v>
      </c>
      <c r="AK118" s="51"/>
      <c r="AL118" s="52">
        <v>22845</v>
      </c>
    </row>
    <row r="119" spans="1:38" hidden="1" x14ac:dyDescent="0.25">
      <c r="A119" s="70">
        <v>130150</v>
      </c>
      <c r="B119" s="54" t="s">
        <v>318</v>
      </c>
      <c r="C119" s="54" t="s">
        <v>318</v>
      </c>
      <c r="D119" s="55" t="s">
        <v>162</v>
      </c>
      <c r="E119" s="56" t="s">
        <v>356</v>
      </c>
      <c r="F119" s="56" t="s">
        <v>358</v>
      </c>
      <c r="G119" s="64">
        <f t="shared" si="18"/>
        <v>68134.5</v>
      </c>
      <c r="H119" s="64">
        <v>66150</v>
      </c>
      <c r="I119" s="57">
        <v>95446</v>
      </c>
      <c r="J119" s="57">
        <v>95327</v>
      </c>
      <c r="K119" s="58">
        <v>92470</v>
      </c>
      <c r="L119" s="57">
        <v>58159</v>
      </c>
      <c r="M119" s="58">
        <v>59491</v>
      </c>
      <c r="N119" s="58">
        <v>58229</v>
      </c>
      <c r="O119" s="57">
        <v>110950</v>
      </c>
      <c r="P119" s="58">
        <v>102119</v>
      </c>
      <c r="Q119" s="58">
        <v>94080</v>
      </c>
      <c r="R119" s="57">
        <v>11659</v>
      </c>
      <c r="S119" s="58">
        <v>12788</v>
      </c>
      <c r="T119" s="58">
        <v>8246</v>
      </c>
      <c r="U119" s="59">
        <f t="shared" si="20"/>
        <v>96611.9</v>
      </c>
      <c r="V119" s="59">
        <f t="shared" si="21"/>
        <v>69254</v>
      </c>
      <c r="W119" s="59">
        <f>SUM(U119*'Factors &amp; Percentages'!$E$6+V119*'Factors &amp; Percentages'!$E$7)</f>
        <v>14040.881112003088</v>
      </c>
      <c r="X119" s="60">
        <v>1</v>
      </c>
      <c r="Y119" s="59">
        <f>X119*'Factors &amp; Percentages'!$E$10</f>
        <v>14160.96928630961</v>
      </c>
      <c r="Z119" s="61">
        <v>4.9726256955460194E-2</v>
      </c>
      <c r="AA119" s="59">
        <f>+'Factors &amp; Percentages'!E$13*Z119</f>
        <v>8288.0816750757367</v>
      </c>
      <c r="AB119" s="62">
        <v>25</v>
      </c>
      <c r="AC119" s="85">
        <v>196</v>
      </c>
      <c r="AD119" s="63">
        <v>5778</v>
      </c>
      <c r="AE119" s="59">
        <f>AB119*'Factors &amp; Percentages'!$E$16+AC119*'Factors &amp; Percentages'!$E$17+AD119*'Factors &amp; Percentages'!$E$18</f>
        <v>9595.7407147158046</v>
      </c>
      <c r="AF119" s="59">
        <f t="shared" si="22"/>
        <v>46085.672788104246</v>
      </c>
      <c r="AG119" s="65">
        <f t="shared" si="23"/>
        <v>46085.672788104246</v>
      </c>
      <c r="AH119" s="64">
        <f>IF($AL119&gt;$AF119,$AL119*(1+'Factors &amp; Percentages'!$B$3),
IF($AF119&gt;$AG119,$AG119,
IF($AF119&gt;$BOJ119,$AF119,
$AL119*(1+'Factors &amp; Percentages'!$B$3))))</f>
        <v>68134.5</v>
      </c>
      <c r="AI119" s="64">
        <f>IF(+MIN(AH119,+X119*2*AK$1)-(AL119*(1+'Factors &amp; Percentages'!B$3))&gt;0,0,+MIN(AH119,+X119*2*AK$1)-(AL119*(1+'Factors &amp; Percentages'!B$3)))</f>
        <v>0</v>
      </c>
      <c r="AJ119" s="64">
        <f t="shared" si="19"/>
        <v>68134.5</v>
      </c>
      <c r="AK119" s="65"/>
      <c r="AL119" s="66">
        <v>66150</v>
      </c>
    </row>
    <row r="120" spans="1:38" hidden="1" x14ac:dyDescent="0.25">
      <c r="A120" s="39">
        <v>130147</v>
      </c>
      <c r="B120" s="40" t="s">
        <v>86</v>
      </c>
      <c r="C120" s="40" t="s">
        <v>86</v>
      </c>
      <c r="D120" s="41" t="s">
        <v>86</v>
      </c>
      <c r="E120" s="42" t="s">
        <v>356</v>
      </c>
      <c r="F120" s="42" t="s">
        <v>356</v>
      </c>
      <c r="G120" s="26">
        <f t="shared" si="18"/>
        <v>10483.85</v>
      </c>
      <c r="H120" s="26">
        <v>10253.1</v>
      </c>
      <c r="I120" s="43">
        <v>16129</v>
      </c>
      <c r="J120" s="43">
        <v>15774</v>
      </c>
      <c r="K120" s="44">
        <v>13994</v>
      </c>
      <c r="L120" s="43">
        <v>4775</v>
      </c>
      <c r="M120" s="44">
        <v>4412</v>
      </c>
      <c r="N120" s="44">
        <v>4413</v>
      </c>
      <c r="O120" s="43">
        <v>4125</v>
      </c>
      <c r="P120" s="44">
        <v>2105</v>
      </c>
      <c r="Q120" s="44">
        <v>4016</v>
      </c>
      <c r="R120" s="43">
        <v>19</v>
      </c>
      <c r="S120" s="44">
        <v>1389</v>
      </c>
      <c r="T120" s="44">
        <v>38</v>
      </c>
      <c r="U120" s="45">
        <f t="shared" si="20"/>
        <v>16130.9</v>
      </c>
      <c r="V120" s="45">
        <f t="shared" si="21"/>
        <v>5187.5</v>
      </c>
      <c r="W120" s="45">
        <f>SUM(U120*'Factors &amp; Percentages'!$E$6+V120*'Factors &amp; Percentages'!$E$7)</f>
        <v>1897.0494875097957</v>
      </c>
      <c r="X120" s="46">
        <v>0.16500000000000001</v>
      </c>
      <c r="Y120" s="45">
        <f>X120*'Factors &amp; Percentages'!$E$10</f>
        <v>2336.5599322410858</v>
      </c>
      <c r="Z120" s="47">
        <v>3.9416633819471816E-2</v>
      </c>
      <c r="AA120" s="45">
        <f>+'Factors &amp; Percentages'!E$13*Z120</f>
        <v>6569.7339887245007</v>
      </c>
      <c r="AB120" s="48">
        <v>15</v>
      </c>
      <c r="AC120" s="49">
        <v>27</v>
      </c>
      <c r="AD120" s="50">
        <v>4261</v>
      </c>
      <c r="AE120" s="45">
        <f>AB120*'Factors &amp; Percentages'!$E$16+AC120*'Factors &amp; Percentages'!$E$17+AD120*'Factors &amp; Percentages'!$E$18</f>
        <v>3635.5151238316134</v>
      </c>
      <c r="AF120" s="45">
        <f t="shared" si="22"/>
        <v>14438.858532306996</v>
      </c>
      <c r="AG120" s="51">
        <f t="shared" si="23"/>
        <v>10483.85</v>
      </c>
      <c r="AH120" s="26">
        <f>IF($AL120&gt;$AF120,$AL120*(1+'Factors &amp; Percentages'!$B$3),
IF($AF120&gt;$AG120,$AG120,
IF($AF120&gt;$BOJ120,$AF120,
$AL120*(1+'Factors &amp; Percentages'!$B$3))))</f>
        <v>10483.85</v>
      </c>
      <c r="AI120" s="26">
        <f>IF(+MIN(AH120,+X120*2*AK$1)-(AL120*(1+'Factors &amp; Percentages'!B$3))&gt;0,0,+MIN(AH120,+X120*2*AK$1)-(AL120*(1+'Factors &amp; Percentages'!B$3)))</f>
        <v>0</v>
      </c>
      <c r="AJ120" s="26">
        <f t="shared" si="19"/>
        <v>10483.85</v>
      </c>
      <c r="AK120" s="51"/>
      <c r="AL120" s="52">
        <v>9600</v>
      </c>
    </row>
    <row r="121" spans="1:38" hidden="1" x14ac:dyDescent="0.25">
      <c r="A121" s="53">
        <v>130151</v>
      </c>
      <c r="B121" s="54" t="s">
        <v>163</v>
      </c>
      <c r="C121" s="54" t="s">
        <v>163</v>
      </c>
      <c r="D121" s="55" t="s">
        <v>163</v>
      </c>
      <c r="E121" s="56" t="s">
        <v>356</v>
      </c>
      <c r="F121" s="56" t="s">
        <v>358</v>
      </c>
      <c r="G121" s="64">
        <f t="shared" si="18"/>
        <v>13167.7</v>
      </c>
      <c r="H121" s="64">
        <v>13332.15</v>
      </c>
      <c r="I121" s="57">
        <v>20258</v>
      </c>
      <c r="J121" s="57">
        <v>20511</v>
      </c>
      <c r="K121" s="58">
        <v>19120</v>
      </c>
      <c r="L121" s="57">
        <v>19678</v>
      </c>
      <c r="M121" s="58">
        <v>7647</v>
      </c>
      <c r="N121" s="58">
        <v>13040</v>
      </c>
      <c r="O121" s="57">
        <v>34951</v>
      </c>
      <c r="P121" s="58">
        <v>34951</v>
      </c>
      <c r="Q121" s="58">
        <v>14336</v>
      </c>
      <c r="R121" s="57">
        <v>9900</v>
      </c>
      <c r="S121" s="58">
        <v>4866</v>
      </c>
      <c r="T121" s="58">
        <v>2919</v>
      </c>
      <c r="U121" s="59">
        <f t="shared" si="20"/>
        <v>21248</v>
      </c>
      <c r="V121" s="59">
        <f t="shared" si="21"/>
        <v>23173.1</v>
      </c>
      <c r="W121" s="59">
        <f>SUM(U121*'Factors &amp; Percentages'!$E$6+V121*'Factors &amp; Percentages'!$E$7)</f>
        <v>3645.2283961285739</v>
      </c>
      <c r="X121" s="60">
        <v>0.33</v>
      </c>
      <c r="Y121" s="59">
        <f>X121*'Factors &amp; Percentages'!$E$10</f>
        <v>4673.1198644821716</v>
      </c>
      <c r="Z121" s="61">
        <v>2.8474939206004794E-2</v>
      </c>
      <c r="AA121" s="59">
        <f>+'Factors &amp; Percentages'!E$13*Z121</f>
        <v>4746.0363253074038</v>
      </c>
      <c r="AB121" s="62">
        <v>25</v>
      </c>
      <c r="AC121" s="85">
        <v>30</v>
      </c>
      <c r="AD121" s="63">
        <v>4429</v>
      </c>
      <c r="AE121" s="59">
        <f>AB121*'Factors &amp; Percentages'!$E$16+AC121*'Factors &amp; Percentages'!$E$17+AD121*'Factors &amp; Percentages'!$E$18</f>
        <v>5091.3879682429997</v>
      </c>
      <c r="AF121" s="59">
        <f t="shared" si="22"/>
        <v>18155.772554161151</v>
      </c>
      <c r="AG121" s="65">
        <f t="shared" si="23"/>
        <v>13167.7</v>
      </c>
      <c r="AH121" s="64">
        <f>IF($AL121&gt;$AF121,$AL121*(1+'Factors &amp; Percentages'!$B$3),
IF($AF121&gt;$AG121,$AG121,
IF($AF121&gt;$BOJ121,$AF121,
$AL121*(1+'Factors &amp; Percentages'!$B$3))))</f>
        <v>13167.7</v>
      </c>
      <c r="AI121" s="64">
        <f>IF(+MIN(AH121,+X121*2*AK$1)-(AL121*(1+'Factors &amp; Percentages'!B$3))&gt;0,0,+MIN(AH121,+X121*2*AK$1)-(AL121*(1+'Factors &amp; Percentages'!B$3)))</f>
        <v>0</v>
      </c>
      <c r="AJ121" s="64">
        <f t="shared" si="19"/>
        <v>13167.7</v>
      </c>
      <c r="AK121" s="65"/>
      <c r="AL121" s="66">
        <v>10000</v>
      </c>
    </row>
    <row r="122" spans="1:38" x14ac:dyDescent="0.25">
      <c r="A122" s="39">
        <v>130078</v>
      </c>
      <c r="B122" s="40" t="s">
        <v>420</v>
      </c>
      <c r="C122" s="40" t="s">
        <v>116</v>
      </c>
      <c r="D122" s="41" t="s">
        <v>116</v>
      </c>
      <c r="E122" s="42" t="s">
        <v>357</v>
      </c>
      <c r="F122" s="42" t="s">
        <v>359</v>
      </c>
      <c r="G122" s="26">
        <f t="shared" si="18"/>
        <v>21929.05</v>
      </c>
      <c r="H122" s="26">
        <v>29038.104974385395</v>
      </c>
      <c r="I122" s="43">
        <v>33737</v>
      </c>
      <c r="J122" s="43">
        <v>50732</v>
      </c>
      <c r="K122" s="44">
        <v>33548</v>
      </c>
      <c r="L122" s="43">
        <v>19873</v>
      </c>
      <c r="M122" s="44">
        <v>10220</v>
      </c>
      <c r="N122" s="44">
        <v>8493</v>
      </c>
      <c r="O122" s="43">
        <v>0</v>
      </c>
      <c r="P122" s="44">
        <v>0</v>
      </c>
      <c r="Q122" s="44">
        <v>0</v>
      </c>
      <c r="R122" s="43">
        <v>196</v>
      </c>
      <c r="S122" s="44">
        <v>0</v>
      </c>
      <c r="T122" s="44">
        <v>3809</v>
      </c>
      <c r="U122" s="45">
        <f t="shared" si="20"/>
        <v>33756.6</v>
      </c>
      <c r="V122" s="45">
        <f t="shared" si="21"/>
        <v>19873</v>
      </c>
      <c r="W122" s="45">
        <f>SUM(U122*'Factors &amp; Percentages'!$E$6+V122*'Factors &amp; Percentages'!$E$7)</f>
        <v>4602.5322926970184</v>
      </c>
      <c r="X122" s="46">
        <v>1</v>
      </c>
      <c r="Y122" s="45">
        <f>X122*'Factors &amp; Percentages'!$E$10</f>
        <v>14160.96928630961</v>
      </c>
      <c r="Z122" s="47">
        <v>2.9672005649549877E-2</v>
      </c>
      <c r="AA122" s="45">
        <f>+'Factors &amp; Percentages'!E$13*Z122</f>
        <v>4945.5563588277355</v>
      </c>
      <c r="AB122" s="48">
        <v>33</v>
      </c>
      <c r="AC122" s="49">
        <v>57</v>
      </c>
      <c r="AD122" s="50">
        <v>12090</v>
      </c>
      <c r="AE122" s="45">
        <f>AB122*'Factors &amp; Percentages'!$E$16+AC122*'Factors &amp; Percentages'!$E$17+AD122*'Factors &amp; Percentages'!$E$18</f>
        <v>8534.36391563916</v>
      </c>
      <c r="AF122" s="45">
        <f t="shared" si="22"/>
        <v>32243.421853473526</v>
      </c>
      <c r="AG122" s="51">
        <f t="shared" si="23"/>
        <v>21929.05</v>
      </c>
      <c r="AH122" s="26">
        <f>IF($AL122&gt;$AF122,$AL122*(1+'Factors &amp; Percentages'!$B$3),
IF($AF122&gt;$AG122,$AG122,
IF($AF122&gt;$BOJ122,$AF122,
$AL122*(1+'Factors &amp; Percentages'!$B$3))))</f>
        <v>21929.05</v>
      </c>
      <c r="AI122" s="26">
        <f>IF(+MIN(AH122,+X122*2*AK$1)-(AL122*(1+'Factors &amp; Percentages'!B$3))&gt;0,0,+MIN(AH122,+X122*2*AK$1)-(AL122*(1+'Factors &amp; Percentages'!B$3)))</f>
        <v>0</v>
      </c>
      <c r="AJ122" s="26">
        <f t="shared" si="19"/>
        <v>21929.05</v>
      </c>
      <c r="AK122" s="51"/>
      <c r="AL122" s="52">
        <v>15000</v>
      </c>
    </row>
    <row r="123" spans="1:38" hidden="1" x14ac:dyDescent="0.25">
      <c r="A123" s="53">
        <v>130309</v>
      </c>
      <c r="B123" s="54" t="s">
        <v>177</v>
      </c>
      <c r="C123" s="54" t="s">
        <v>177</v>
      </c>
      <c r="D123" s="55" t="s">
        <v>177</v>
      </c>
      <c r="E123" s="56" t="s">
        <v>237</v>
      </c>
      <c r="F123" s="56" t="s">
        <v>238</v>
      </c>
      <c r="G123" s="64">
        <f t="shared" si="18"/>
        <v>18546.45</v>
      </c>
      <c r="H123" s="64">
        <v>18325.45</v>
      </c>
      <c r="I123" s="57">
        <v>28533</v>
      </c>
      <c r="J123" s="57">
        <v>28193</v>
      </c>
      <c r="K123" s="58">
        <v>28007</v>
      </c>
      <c r="L123" s="57">
        <v>7820</v>
      </c>
      <c r="M123" s="58">
        <v>8231</v>
      </c>
      <c r="N123" s="58">
        <v>9284</v>
      </c>
      <c r="O123" s="57">
        <v>3864</v>
      </c>
      <c r="P123" s="58">
        <v>5353</v>
      </c>
      <c r="Q123" s="58">
        <v>3802</v>
      </c>
      <c r="R123" s="57">
        <v>12570</v>
      </c>
      <c r="S123" s="58">
        <v>3652</v>
      </c>
      <c r="T123" s="58">
        <v>3744</v>
      </c>
      <c r="U123" s="59">
        <f t="shared" si="20"/>
        <v>29790</v>
      </c>
      <c r="V123" s="59">
        <f t="shared" si="21"/>
        <v>8206.4</v>
      </c>
      <c r="W123" s="59">
        <f>SUM(U123*'Factors &amp; Percentages'!$E$6+V123*'Factors &amp; Percentages'!$E$7)</f>
        <v>3407.0300655484398</v>
      </c>
      <c r="X123" s="60">
        <v>0.1</v>
      </c>
      <c r="Y123" s="59">
        <f>X123*'Factors &amp; Percentages'!$E$10</f>
        <v>1416.096928630961</v>
      </c>
      <c r="Z123" s="61">
        <v>7.6593723910262798E-2</v>
      </c>
      <c r="AA123" s="59">
        <f>+'Factors &amp; Percentages'!E$13*Z123</f>
        <v>12766.193927185455</v>
      </c>
      <c r="AB123" s="62">
        <v>36</v>
      </c>
      <c r="AC123" s="85">
        <v>46</v>
      </c>
      <c r="AD123" s="63">
        <v>859</v>
      </c>
      <c r="AE123" s="59">
        <f>AB123*'Factors &amp; Percentages'!$E$16+AC123*'Factors &amp; Percentages'!$E$17+AD123*'Factors &amp; Percentages'!$E$18</f>
        <v>6189.2792459330212</v>
      </c>
      <c r="AF123" s="59">
        <f t="shared" si="22"/>
        <v>23778.600167297875</v>
      </c>
      <c r="AG123" s="65">
        <f t="shared" si="23"/>
        <v>18546.45</v>
      </c>
      <c r="AH123" s="64">
        <f>IF($AL123&gt;$AF123,$AL123*(1+'Factors &amp; Percentages'!$B$3),
IF($AF123&gt;$AG123,$AG123,
IF($AF123&gt;$BOJ123,$AF123,
$AL123*(1+'Factors &amp; Percentages'!$B$3))))</f>
        <v>18546.45</v>
      </c>
      <c r="AI123" s="64">
        <f>IF(+MIN(AH123,+X123*2*AK$1)-(AL123*(1+'Factors &amp; Percentages'!B$3))&gt;0,0,+MIN(AH123,+X123*2*AK$1)-(AL123*(1+'Factors &amp; Percentages'!B$3)))</f>
        <v>0</v>
      </c>
      <c r="AJ123" s="64">
        <f t="shared" si="19"/>
        <v>18546.45</v>
      </c>
      <c r="AK123" s="65"/>
      <c r="AL123" s="66">
        <v>16000</v>
      </c>
    </row>
    <row r="124" spans="1:38" x14ac:dyDescent="0.25">
      <c r="A124" s="39">
        <v>130006</v>
      </c>
      <c r="B124" s="40" t="s">
        <v>421</v>
      </c>
      <c r="C124" s="40" t="s">
        <v>51</v>
      </c>
      <c r="D124" s="69" t="s">
        <v>51</v>
      </c>
      <c r="E124" s="42" t="s">
        <v>357</v>
      </c>
      <c r="F124" s="42" t="s">
        <v>256</v>
      </c>
      <c r="G124" s="26">
        <f t="shared" ref="G124:G137" si="24">+AJ124</f>
        <v>17512.3</v>
      </c>
      <c r="H124" s="26">
        <v>15991.300000000001</v>
      </c>
      <c r="I124" s="43">
        <v>26942</v>
      </c>
      <c r="J124" s="43">
        <v>24602</v>
      </c>
      <c r="K124" s="44">
        <v>27150</v>
      </c>
      <c r="L124" s="43">
        <v>9357</v>
      </c>
      <c r="M124" s="44">
        <v>14911</v>
      </c>
      <c r="N124" s="44">
        <v>14965</v>
      </c>
      <c r="O124" s="43">
        <v>1986</v>
      </c>
      <c r="P124" s="44">
        <v>1208</v>
      </c>
      <c r="Q124" s="44">
        <v>344</v>
      </c>
      <c r="R124" s="43">
        <v>2939</v>
      </c>
      <c r="S124" s="44">
        <v>2584</v>
      </c>
      <c r="T124" s="44">
        <v>0</v>
      </c>
      <c r="U124" s="45">
        <f t="shared" si="20"/>
        <v>27235.9</v>
      </c>
      <c r="V124" s="45">
        <f t="shared" si="21"/>
        <v>9555.6</v>
      </c>
      <c r="W124" s="45">
        <f>SUM(U124*'Factors &amp; Percentages'!$E$6+V124*'Factors &amp; Percentages'!$E$7)</f>
        <v>3258.9428637625074</v>
      </c>
      <c r="X124" s="46">
        <v>0.25</v>
      </c>
      <c r="Y124" s="45">
        <f>X124*'Factors &amp; Percentages'!$E$10</f>
        <v>3540.2423215774024</v>
      </c>
      <c r="Z124" s="47">
        <v>5.6229370849569561E-2</v>
      </c>
      <c r="AA124" s="45">
        <f>+'Factors &amp; Percentages'!E$13*Z124</f>
        <v>9371.9826641442487</v>
      </c>
      <c r="AB124" s="48">
        <v>22</v>
      </c>
      <c r="AC124" s="49">
        <v>50</v>
      </c>
      <c r="AD124" s="50">
        <v>5023</v>
      </c>
      <c r="AE124" s="45">
        <f>AB124*'Factors &amp; Percentages'!$E$16+AC124*'Factors &amp; Percentages'!$E$17+AD124*'Factors &amp; Percentages'!$E$18</f>
        <v>5326.0710827028543</v>
      </c>
      <c r="AF124" s="45">
        <f t="shared" si="22"/>
        <v>21497.238932187014</v>
      </c>
      <c r="AG124" s="51">
        <f t="shared" si="23"/>
        <v>17512.3</v>
      </c>
      <c r="AH124" s="26">
        <f>IF($AL124&gt;$AF124,$AL124*(1+'Factors &amp; Percentages'!$B$3),
IF($AF124&gt;$AG124,$AG124,
IF($AF124&gt;$BOJ124,$AF124,
$AL124*(1+'Factors &amp; Percentages'!$B$3))))</f>
        <v>17512.3</v>
      </c>
      <c r="AI124" s="26">
        <f>IF(+MIN(AH124,+X124*2*AK$1)-(AL124*(1+'Factors &amp; Percentages'!B$3))&gt;0,0,+MIN(AH124,+X124*2*AK$1)-(AL124*(1+'Factors &amp; Percentages'!B$3)))</f>
        <v>0</v>
      </c>
      <c r="AJ124" s="26">
        <f t="shared" si="19"/>
        <v>17512.3</v>
      </c>
      <c r="AK124" s="51"/>
      <c r="AL124" s="52">
        <v>12000</v>
      </c>
    </row>
    <row r="125" spans="1:38" hidden="1" x14ac:dyDescent="0.25">
      <c r="A125" s="53">
        <v>130217</v>
      </c>
      <c r="B125" s="54" t="s">
        <v>38</v>
      </c>
      <c r="C125" s="54" t="s">
        <v>38</v>
      </c>
      <c r="D125" s="55" t="s">
        <v>38</v>
      </c>
      <c r="E125" s="56" t="s">
        <v>237</v>
      </c>
      <c r="F125" s="56" t="s">
        <v>239</v>
      </c>
      <c r="G125" s="64">
        <f t="shared" si="24"/>
        <v>18012.806910125284</v>
      </c>
      <c r="H125" s="64">
        <v>21845.764735182795</v>
      </c>
      <c r="I125" s="57">
        <v>16395</v>
      </c>
      <c r="J125" s="57">
        <v>18834</v>
      </c>
      <c r="K125" s="58">
        <v>20374</v>
      </c>
      <c r="L125" s="57">
        <v>40739</v>
      </c>
      <c r="M125" s="58">
        <v>41171</v>
      </c>
      <c r="N125" s="58">
        <v>42133</v>
      </c>
      <c r="O125" s="57">
        <v>0</v>
      </c>
      <c r="P125" s="58">
        <v>0</v>
      </c>
      <c r="Q125" s="58">
        <v>0</v>
      </c>
      <c r="R125" s="57">
        <v>0</v>
      </c>
      <c r="S125" s="58">
        <v>0</v>
      </c>
      <c r="T125" s="58">
        <v>0</v>
      </c>
      <c r="U125" s="59">
        <f t="shared" si="20"/>
        <v>16395</v>
      </c>
      <c r="V125" s="59">
        <f t="shared" si="21"/>
        <v>40739</v>
      </c>
      <c r="W125" s="59">
        <f>SUM(U125*'Factors &amp; Percentages'!$E$6+V125*'Factors &amp; Percentages'!$E$7)</f>
        <v>4416.390199514175</v>
      </c>
      <c r="X125" s="60">
        <v>0.33</v>
      </c>
      <c r="Y125" s="59">
        <f>X125*'Factors &amp; Percentages'!$E$10</f>
        <v>4673.1198644821716</v>
      </c>
      <c r="Z125" s="61">
        <v>3.8058991436726926E-2</v>
      </c>
      <c r="AA125" s="59">
        <f>+'Factors &amp; Percentages'!E$13*Z125</f>
        <v>6343.4500968198126</v>
      </c>
      <c r="AB125" s="62">
        <v>9</v>
      </c>
      <c r="AC125" s="85">
        <v>41</v>
      </c>
      <c r="AD125" s="63">
        <v>1510</v>
      </c>
      <c r="AE125" s="59">
        <f>AB125*'Factors &amp; Percentages'!$E$16+AC125*'Factors &amp; Percentages'!$E$17+AD125*'Factors &amp; Percentages'!$E$18</f>
        <v>2579.8467493091266</v>
      </c>
      <c r="AF125" s="59">
        <f t="shared" si="22"/>
        <v>18012.806910125284</v>
      </c>
      <c r="AG125" s="65">
        <f t="shared" si="23"/>
        <v>18012.806910125284</v>
      </c>
      <c r="AH125" s="64">
        <f>IF($AL125&gt;$AF125,$AL125*(1+'Factors &amp; Percentages'!$B$3),
IF($AF125&gt;$AG125,$AG125,
IF($AF125&gt;$BOJ125,$AF125,
$AL125*(1+'Factors &amp; Percentages'!$B$3))))</f>
        <v>18012.806910125284</v>
      </c>
      <c r="AI125" s="64">
        <f>IF(+MIN(AH125,+X125*2*AK$1)-(AL125*(1+'Factors &amp; Percentages'!B$3))&gt;0,0,+MIN(AH125,+X125*2*AK$1)-(AL125*(1+'Factors &amp; Percentages'!B$3)))</f>
        <v>0</v>
      </c>
      <c r="AJ125" s="64">
        <f t="shared" ref="AJ125:AJ134" si="25">MIN(AH125-AI125,+X125*2*AK$1)</f>
        <v>18012.806910125284</v>
      </c>
      <c r="AK125" s="65"/>
      <c r="AL125" s="66">
        <v>10000</v>
      </c>
    </row>
    <row r="126" spans="1:38" hidden="1" x14ac:dyDescent="0.25">
      <c r="A126" s="39">
        <v>130152</v>
      </c>
      <c r="B126" s="40" t="s">
        <v>164</v>
      </c>
      <c r="C126" s="40" t="s">
        <v>164</v>
      </c>
      <c r="D126" s="41" t="s">
        <v>164</v>
      </c>
      <c r="E126" s="42" t="s">
        <v>356</v>
      </c>
      <c r="F126" s="42" t="s">
        <v>358</v>
      </c>
      <c r="G126" s="26">
        <f t="shared" si="24"/>
        <v>23621.65</v>
      </c>
      <c r="H126" s="26">
        <v>12490.800000000001</v>
      </c>
      <c r="I126" s="43">
        <v>36341</v>
      </c>
      <c r="J126" s="43">
        <v>15609</v>
      </c>
      <c r="K126" s="44">
        <v>18301</v>
      </c>
      <c r="L126" s="43">
        <v>11198</v>
      </c>
      <c r="M126" s="44">
        <v>5574</v>
      </c>
      <c r="N126" s="44">
        <v>5819</v>
      </c>
      <c r="O126" s="43">
        <v>66553</v>
      </c>
      <c r="P126" s="44">
        <v>20708</v>
      </c>
      <c r="Q126" s="44">
        <v>11808</v>
      </c>
      <c r="R126" s="43">
        <v>5893</v>
      </c>
      <c r="S126" s="44">
        <v>0</v>
      </c>
      <c r="T126" s="44">
        <v>0</v>
      </c>
      <c r="U126" s="45">
        <f t="shared" si="20"/>
        <v>36930.300000000003</v>
      </c>
      <c r="V126" s="45">
        <f t="shared" si="21"/>
        <v>17853.3</v>
      </c>
      <c r="W126" s="45">
        <f>SUM(U126*'Factors &amp; Percentages'!$E$6+V126*'Factors &amp; Percentages'!$E$7)</f>
        <v>4762.4658219370676</v>
      </c>
      <c r="X126" s="46">
        <v>0.33</v>
      </c>
      <c r="Y126" s="45">
        <f>X126*'Factors &amp; Percentages'!$E$10</f>
        <v>4673.1198644821716</v>
      </c>
      <c r="Z126" s="47">
        <v>5.5729555612523546E-2</v>
      </c>
      <c r="AA126" s="45">
        <f>+'Factors &amp; Percentages'!E$13*Z126</f>
        <v>9288.6763837058243</v>
      </c>
      <c r="AB126" s="48">
        <v>24</v>
      </c>
      <c r="AC126" s="49">
        <v>53</v>
      </c>
      <c r="AD126" s="50">
        <v>2116</v>
      </c>
      <c r="AE126" s="45">
        <f>AB126*'Factors &amp; Percentages'!$E$16+AC126*'Factors &amp; Percentages'!$E$17+AD126*'Factors &amp; Percentages'!$E$18</f>
        <v>5031.5929489748305</v>
      </c>
      <c r="AF126" s="45">
        <f t="shared" si="22"/>
        <v>23755.855019099894</v>
      </c>
      <c r="AG126" s="51">
        <f t="shared" si="23"/>
        <v>23621.65</v>
      </c>
      <c r="AH126" s="26">
        <f>IF($AL126&gt;$AF126,$AL126*(1+'Factors &amp; Percentages'!$B$3),
IF($AF126&gt;$AG126,$AG126,
IF($AF126&gt;$BOJ126,$AF126,
$AL126*(1+'Factors &amp; Percentages'!$B$3))))</f>
        <v>23621.65</v>
      </c>
      <c r="AI126" s="26">
        <f>IF(+MIN(AH126,+X126*2*AK$1)-(AL126*(1+'Factors &amp; Percentages'!B$3))&gt;0,0,+MIN(AH126,+X126*2*AK$1)-(AL126*(1+'Factors &amp; Percentages'!B$3)))</f>
        <v>0</v>
      </c>
      <c r="AJ126" s="26">
        <f t="shared" si="25"/>
        <v>23621.65</v>
      </c>
      <c r="AK126" s="51"/>
      <c r="AL126" s="52">
        <v>12491</v>
      </c>
    </row>
    <row r="127" spans="1:38" hidden="1" x14ac:dyDescent="0.25">
      <c r="A127" s="53">
        <v>130198</v>
      </c>
      <c r="B127" s="54" t="s">
        <v>18</v>
      </c>
      <c r="C127" s="54" t="s">
        <v>18</v>
      </c>
      <c r="D127" s="55" t="s">
        <v>18</v>
      </c>
      <c r="E127" s="56" t="s">
        <v>237</v>
      </c>
      <c r="F127" s="56" t="s">
        <v>237</v>
      </c>
      <c r="G127" s="64">
        <f t="shared" si="24"/>
        <v>24912.5402389636</v>
      </c>
      <c r="H127" s="64">
        <v>24281.557065000932</v>
      </c>
      <c r="I127" s="57">
        <v>47785</v>
      </c>
      <c r="J127" s="57">
        <v>39346</v>
      </c>
      <c r="K127" s="58">
        <v>34820</v>
      </c>
      <c r="L127" s="57">
        <v>14550</v>
      </c>
      <c r="M127" s="58">
        <v>2140</v>
      </c>
      <c r="N127" s="58">
        <v>5175</v>
      </c>
      <c r="O127" s="57">
        <v>14491</v>
      </c>
      <c r="P127" s="58">
        <v>14379</v>
      </c>
      <c r="Q127" s="58">
        <v>13920</v>
      </c>
      <c r="R127" s="57">
        <v>661</v>
      </c>
      <c r="S127" s="58">
        <v>7184</v>
      </c>
      <c r="T127" s="58">
        <v>1702</v>
      </c>
      <c r="U127" s="59">
        <f t="shared" si="20"/>
        <v>47851.1</v>
      </c>
      <c r="V127" s="59">
        <f t="shared" si="21"/>
        <v>15999.1</v>
      </c>
      <c r="W127" s="59">
        <f>SUM(U127*'Factors &amp; Percentages'!$E$6+V127*'Factors &amp; Percentages'!$E$7)</f>
        <v>5670.3052832509911</v>
      </c>
      <c r="X127" s="60">
        <v>0.25</v>
      </c>
      <c r="Y127" s="59">
        <f>X127*'Factors &amp; Percentages'!$E$10</f>
        <v>3540.2423215774024</v>
      </c>
      <c r="Z127" s="61">
        <v>6.8178874094073208E-2</v>
      </c>
      <c r="AA127" s="59">
        <f>+'Factors &amp; Percentages'!E$13*Z127</f>
        <v>11363.655975806083</v>
      </c>
      <c r="AB127" s="62">
        <v>22</v>
      </c>
      <c r="AC127" s="85">
        <v>44</v>
      </c>
      <c r="AD127" s="63">
        <v>1222</v>
      </c>
      <c r="AE127" s="59">
        <f>AB127*'Factors &amp; Percentages'!$E$16+AC127*'Factors &amp; Percentages'!$E$17+AD127*'Factors &amp; Percentages'!$E$18</f>
        <v>4338.3366583291245</v>
      </c>
      <c r="AF127" s="59">
        <f t="shared" si="22"/>
        <v>24912.5402389636</v>
      </c>
      <c r="AG127" s="65">
        <f t="shared" si="23"/>
        <v>24912.5402389636</v>
      </c>
      <c r="AH127" s="64">
        <f>IF($AL127&gt;$AF127,$AL127*(1+'Factors &amp; Percentages'!$B$3),
IF($AF127&gt;$AG127,$AG127,
IF($AF127&gt;$BOJ127,$AF127,
$AL127*(1+'Factors &amp; Percentages'!$B$3))))</f>
        <v>24912.5402389636</v>
      </c>
      <c r="AI127" s="64">
        <f>IF(+MIN(AH127,+X127*2*AK$1)-(AL127*(1+'Factors &amp; Percentages'!B$3))&gt;0,0,+MIN(AH127,+X127*2*AK$1)-(AL127*(1+'Factors &amp; Percentages'!B$3)))</f>
        <v>0</v>
      </c>
      <c r="AJ127" s="64">
        <f t="shared" si="25"/>
        <v>24912.5402389636</v>
      </c>
      <c r="AK127" s="65"/>
      <c r="AL127" s="66">
        <v>22400</v>
      </c>
    </row>
    <row r="128" spans="1:38" hidden="1" x14ac:dyDescent="0.25">
      <c r="A128" s="39">
        <v>130219</v>
      </c>
      <c r="B128" s="40" t="s">
        <v>39</v>
      </c>
      <c r="C128" s="40" t="s">
        <v>319</v>
      </c>
      <c r="D128" s="41" t="s">
        <v>39</v>
      </c>
      <c r="E128" s="42" t="s">
        <v>237</v>
      </c>
      <c r="F128" s="42" t="s">
        <v>239</v>
      </c>
      <c r="G128" s="26">
        <f t="shared" si="24"/>
        <v>12926.511627906975</v>
      </c>
      <c r="H128" s="26">
        <v>12723.644914297611</v>
      </c>
      <c r="I128" s="43">
        <v>10587</v>
      </c>
      <c r="J128" s="43">
        <v>4491</v>
      </c>
      <c r="K128" s="44">
        <v>6651</v>
      </c>
      <c r="L128" s="43">
        <v>25135</v>
      </c>
      <c r="M128" s="44">
        <v>24227</v>
      </c>
      <c r="N128" s="44">
        <v>21874</v>
      </c>
      <c r="O128" s="43">
        <v>5697</v>
      </c>
      <c r="P128" s="44">
        <v>5597</v>
      </c>
      <c r="Q128" s="44">
        <v>15372</v>
      </c>
      <c r="R128" s="43">
        <v>1000</v>
      </c>
      <c r="S128" s="44">
        <v>0</v>
      </c>
      <c r="T128" s="44">
        <v>2425</v>
      </c>
      <c r="U128" s="45">
        <f t="shared" si="20"/>
        <v>10687</v>
      </c>
      <c r="V128" s="45">
        <f t="shared" si="21"/>
        <v>25704.7</v>
      </c>
      <c r="W128" s="45">
        <f>SUM(U128*'Factors &amp; Percentages'!$E$6+V128*'Factors &amp; Percentages'!$E$7)</f>
        <v>2819.1101810643527</v>
      </c>
      <c r="X128" s="46">
        <v>0.06</v>
      </c>
      <c r="Y128" s="45">
        <f>X128*'Factors &amp; Percentages'!$E$10</f>
        <v>849.65815717857652</v>
      </c>
      <c r="Z128" s="47">
        <v>3.9813672014969936E-2</v>
      </c>
      <c r="AA128" s="45">
        <f>+'Factors &amp; Percentages'!E$13*Z128</f>
        <v>6635.9099929904269</v>
      </c>
      <c r="AB128" s="48">
        <v>16</v>
      </c>
      <c r="AC128" s="49">
        <v>32</v>
      </c>
      <c r="AD128" s="50">
        <v>1231</v>
      </c>
      <c r="AE128" s="45">
        <f>AB128*'Factors &amp; Percentages'!$E$16+AC128*'Factors &amp; Percentages'!$E$17+AD128*'Factors &amp; Percentages'!$E$18</f>
        <v>3230.4022565442815</v>
      </c>
      <c r="AF128" s="45">
        <f t="shared" si="22"/>
        <v>13535.080587777637</v>
      </c>
      <c r="AG128" s="51">
        <f t="shared" si="23"/>
        <v>13535.080587777637</v>
      </c>
      <c r="AH128" s="26">
        <f>IF($AL128&gt;$AF128,$AL128*(1+'Factors &amp; Percentages'!$B$3),
IF($AF128&gt;$AG128,$AG128,
IF($AF128&gt;$BOJ128,$AF128,
$AL128*(1+'Factors &amp; Percentages'!$B$3))))</f>
        <v>13535.080587777637</v>
      </c>
      <c r="AI128" s="26">
        <f>IF(+MIN(AH128,+X128*2*AK$1)-(AL128*(1+'Factors &amp; Percentages'!B$3))&gt;0,0,+MIN(AH128,+X128*2*AK$1)-(AL128*(1+'Factors &amp; Percentages'!B$3)))</f>
        <v>0</v>
      </c>
      <c r="AJ128" s="26">
        <f t="shared" si="25"/>
        <v>12926.511627906975</v>
      </c>
      <c r="AK128" s="51"/>
      <c r="AL128" s="52">
        <v>1000</v>
      </c>
    </row>
    <row r="129" spans="1:38" hidden="1" x14ac:dyDescent="0.25">
      <c r="A129" s="53">
        <v>130246</v>
      </c>
      <c r="B129" s="54" t="s">
        <v>422</v>
      </c>
      <c r="C129" s="54" t="s">
        <v>320</v>
      </c>
      <c r="D129" s="55" t="s">
        <v>69</v>
      </c>
      <c r="E129" s="56" t="s">
        <v>237</v>
      </c>
      <c r="F129" s="56" t="s">
        <v>360</v>
      </c>
      <c r="G129" s="64">
        <f t="shared" si="24"/>
        <v>32315.674943079932</v>
      </c>
      <c r="H129" s="64">
        <v>42603.367171292673</v>
      </c>
      <c r="I129" s="57">
        <v>53650</v>
      </c>
      <c r="J129" s="57">
        <v>52621</v>
      </c>
      <c r="K129" s="58">
        <v>49497</v>
      </c>
      <c r="L129" s="57">
        <v>59144</v>
      </c>
      <c r="M129" s="58">
        <v>61317</v>
      </c>
      <c r="N129" s="58">
        <v>57192</v>
      </c>
      <c r="O129" s="57">
        <v>188795</v>
      </c>
      <c r="P129" s="58">
        <v>178606</v>
      </c>
      <c r="Q129" s="58">
        <v>174727</v>
      </c>
      <c r="R129" s="57">
        <v>15195</v>
      </c>
      <c r="S129" s="58">
        <v>14137</v>
      </c>
      <c r="T129" s="58">
        <v>13664</v>
      </c>
      <c r="U129" s="59">
        <f t="shared" si="20"/>
        <v>55169.5</v>
      </c>
      <c r="V129" s="59">
        <f t="shared" si="21"/>
        <v>78023.5</v>
      </c>
      <c r="W129" s="59">
        <f>SUM(U129*'Factors &amp; Percentages'!$E$6+V129*'Factors &amp; Percentages'!$E$7)</f>
        <v>10717.395299709453</v>
      </c>
      <c r="X129" s="60">
        <v>0.4</v>
      </c>
      <c r="Y129" s="59">
        <f>X129*'Factors &amp; Percentages'!$E$10</f>
        <v>5664.3877145238439</v>
      </c>
      <c r="Z129" s="61">
        <v>6.2505078537631181E-2</v>
      </c>
      <c r="AA129" s="59">
        <f>+'Factors &amp; Percentages'!E$13*Z129</f>
        <v>10417.980916820778</v>
      </c>
      <c r="AB129" s="62">
        <v>25</v>
      </c>
      <c r="AC129" s="85">
        <v>40</v>
      </c>
      <c r="AD129" s="63">
        <v>5207</v>
      </c>
      <c r="AE129" s="59">
        <f>AB129*'Factors &amp; Percentages'!$E$16+AC129*'Factors &amp; Percentages'!$E$17+AD129*'Factors &amp; Percentages'!$E$18</f>
        <v>5515.9110120258538</v>
      </c>
      <c r="AF129" s="59">
        <f t="shared" si="22"/>
        <v>32315.674943079932</v>
      </c>
      <c r="AG129" s="65">
        <f t="shared" si="23"/>
        <v>32315.674943079932</v>
      </c>
      <c r="AH129" s="64">
        <f>IF($AL129&gt;$AF129,$AL129*(1+'Factors &amp; Percentages'!$B$3),
IF($AF129&gt;$AG129,$AG129,
IF($AF129&gt;$BOJ129,$AF129,
$AL129*(1+'Factors &amp; Percentages'!$B$3))))</f>
        <v>32315.674943079932</v>
      </c>
      <c r="AI129" s="64">
        <f>IF(+MIN(AH129,+X129*2*AK$1)-(AL129*(1+'Factors &amp; Percentages'!B$3))&gt;0,0,+MIN(AH129,+X129*2*AK$1)-(AL129*(1+'Factors &amp; Percentages'!B$3)))</f>
        <v>0</v>
      </c>
      <c r="AJ129" s="64">
        <f t="shared" si="25"/>
        <v>32315.674943079932</v>
      </c>
      <c r="AK129" s="65"/>
      <c r="AL129" s="66">
        <v>22000</v>
      </c>
    </row>
    <row r="130" spans="1:38" x14ac:dyDescent="0.25">
      <c r="A130" s="39">
        <v>130169</v>
      </c>
      <c r="B130" s="40" t="s">
        <v>423</v>
      </c>
      <c r="C130" s="40" t="s">
        <v>321</v>
      </c>
      <c r="D130" s="41" t="s">
        <v>195</v>
      </c>
      <c r="E130" s="42" t="s">
        <v>357</v>
      </c>
      <c r="F130" s="42" t="s">
        <v>249</v>
      </c>
      <c r="G130" s="26">
        <f t="shared" si="24"/>
        <v>66235.008258822054</v>
      </c>
      <c r="H130" s="26">
        <v>72965.748695633301</v>
      </c>
      <c r="I130" s="43">
        <v>119110</v>
      </c>
      <c r="J130" s="43">
        <v>117005</v>
      </c>
      <c r="K130" s="44">
        <v>153254</v>
      </c>
      <c r="L130" s="43">
        <v>63500</v>
      </c>
      <c r="M130" s="44">
        <v>76392</v>
      </c>
      <c r="N130" s="44">
        <v>92878</v>
      </c>
      <c r="O130" s="43">
        <v>43255</v>
      </c>
      <c r="P130" s="44">
        <v>44032</v>
      </c>
      <c r="Q130" s="44">
        <v>105427</v>
      </c>
      <c r="R130" s="43">
        <v>2067</v>
      </c>
      <c r="S130" s="44">
        <v>5887</v>
      </c>
      <c r="T130" s="44">
        <v>5502</v>
      </c>
      <c r="U130" s="45">
        <f t="shared" ref="U130:U137" si="26">I130+R130*0.1</f>
        <v>119316.7</v>
      </c>
      <c r="V130" s="45">
        <f t="shared" ref="V130:V137" si="27">L130+0.1*O130</f>
        <v>67825.5</v>
      </c>
      <c r="W130" s="45">
        <f>SUM(U130*'Factors &amp; Percentages'!$E$6+V130*'Factors &amp; Percentages'!$E$7)</f>
        <v>16098.55410065288</v>
      </c>
      <c r="X130" s="46">
        <v>2</v>
      </c>
      <c r="Y130" s="45">
        <f>X130*'Factors &amp; Percentages'!$E$10</f>
        <v>28321.938572619219</v>
      </c>
      <c r="Z130" s="47">
        <v>5.3809439251833562E-2</v>
      </c>
      <c r="AA130" s="45">
        <f>+'Factors &amp; Percentages'!E$13*Z130</f>
        <v>8968.6426189022113</v>
      </c>
      <c r="AB130" s="48">
        <v>48</v>
      </c>
      <c r="AC130" s="49">
        <v>80</v>
      </c>
      <c r="AD130" s="50">
        <v>19887</v>
      </c>
      <c r="AE130" s="45">
        <f>AB130*'Factors &amp; Percentages'!$E$16+AC130*'Factors &amp; Percentages'!$E$17+AD130*'Factors &amp; Percentages'!$E$18</f>
        <v>12845.872966647747</v>
      </c>
      <c r="AF130" s="45">
        <f t="shared" ref="AF130:AF137" si="28">W130+Y130+AA130+AE130</f>
        <v>66235.008258822054</v>
      </c>
      <c r="AG130" s="51">
        <f t="shared" ref="AG130:AG137" si="29">IF($L130&gt;SUM(I130:K130)/3,$AF130,MIN(AF130,$I130*0.65))</f>
        <v>66235.008258822054</v>
      </c>
      <c r="AH130" s="26">
        <f>IF($AL130&gt;$AF130,$AL130*(1+'Factors &amp; Percentages'!$B$3),
IF($AF130&gt;$AG130,$AG130,
IF($AF130&gt;$BOJ130,$AF130,
$AL130*(1+'Factors &amp; Percentages'!$B$3))))</f>
        <v>66235.008258822054</v>
      </c>
      <c r="AI130" s="26">
        <f>IF(+MIN(AH130,+X130*2*AK$1)-(AL130*(1+'Factors &amp; Percentages'!B$3))&gt;0,0,+MIN(AH130,+X130*2*AK$1)-(AL130*(1+'Factors &amp; Percentages'!B$3)))</f>
        <v>0</v>
      </c>
      <c r="AJ130" s="26">
        <f t="shared" si="25"/>
        <v>66235.008258822054</v>
      </c>
      <c r="AK130" s="51"/>
      <c r="AL130" s="52">
        <v>25000</v>
      </c>
    </row>
    <row r="131" spans="1:38" x14ac:dyDescent="0.25">
      <c r="A131" s="53">
        <v>130041</v>
      </c>
      <c r="B131" s="54" t="s">
        <v>322</v>
      </c>
      <c r="C131" s="54" t="s">
        <v>322</v>
      </c>
      <c r="D131" s="55" t="s">
        <v>100</v>
      </c>
      <c r="E131" s="56" t="s">
        <v>357</v>
      </c>
      <c r="F131" s="56" t="s">
        <v>95</v>
      </c>
      <c r="G131" s="64">
        <f t="shared" si="24"/>
        <v>12116</v>
      </c>
      <c r="H131" s="64">
        <v>13839.800000000001</v>
      </c>
      <c r="I131" s="57">
        <v>18640</v>
      </c>
      <c r="J131" s="57">
        <v>21292</v>
      </c>
      <c r="K131" s="58">
        <v>35579</v>
      </c>
      <c r="L131" s="57">
        <v>10203</v>
      </c>
      <c r="M131" s="58">
        <v>16346</v>
      </c>
      <c r="N131" s="58">
        <v>26872</v>
      </c>
      <c r="O131" s="57">
        <v>32180</v>
      </c>
      <c r="P131" s="58">
        <v>53144</v>
      </c>
      <c r="Q131" s="58">
        <v>16305</v>
      </c>
      <c r="R131" s="57">
        <v>0</v>
      </c>
      <c r="S131" s="58">
        <v>1055</v>
      </c>
      <c r="T131" s="58">
        <v>9016</v>
      </c>
      <c r="U131" s="59">
        <f t="shared" si="26"/>
        <v>18640</v>
      </c>
      <c r="V131" s="59">
        <f t="shared" si="27"/>
        <v>13421</v>
      </c>
      <c r="W131" s="59">
        <f>SUM(U131*'Factors &amp; Percentages'!$E$6+V131*'Factors &amp; Percentages'!$E$7)</f>
        <v>2713.1677907376688</v>
      </c>
      <c r="X131" s="60">
        <v>0.4</v>
      </c>
      <c r="Y131" s="59">
        <f>X131*'Factors &amp; Percentages'!$E$10</f>
        <v>5664.3877145238439</v>
      </c>
      <c r="Z131" s="61">
        <v>2.7708199410369515E-2</v>
      </c>
      <c r="AA131" s="59">
        <f>+'Factors &amp; Percentages'!E$13*Z131</f>
        <v>4618.2406206066034</v>
      </c>
      <c r="AB131" s="62">
        <v>15</v>
      </c>
      <c r="AC131" s="85">
        <v>24</v>
      </c>
      <c r="AD131" s="63">
        <v>7268</v>
      </c>
      <c r="AE131" s="59">
        <f>AB131*'Factors &amp; Percentages'!$E$16+AC131*'Factors &amp; Percentages'!$E$17+AD131*'Factors &amp; Percentages'!$E$18</f>
        <v>4220.5569708479961</v>
      </c>
      <c r="AF131" s="59">
        <f t="shared" si="28"/>
        <v>17216.353096716113</v>
      </c>
      <c r="AG131" s="65">
        <f t="shared" si="29"/>
        <v>12116</v>
      </c>
      <c r="AH131" s="64">
        <f>IF($AL131&gt;$AF131,$AL131*(1+'Factors &amp; Percentages'!$B$3),
IF($AF131&gt;$AG131,$AG131,
IF($AF131&gt;$BOJ131,$AF131,
$AL131*(1+'Factors &amp; Percentages'!$B$3))))</f>
        <v>12116</v>
      </c>
      <c r="AI131" s="64">
        <f>IF(+MIN(AH131,+X131*2*AK$1)-(AL131*(1+'Factors &amp; Percentages'!B$3))&gt;0,0,+MIN(AH131,+X131*2*AK$1)-(AL131*(1+'Factors &amp; Percentages'!B$3)))</f>
        <v>0</v>
      </c>
      <c r="AJ131" s="64">
        <f t="shared" si="25"/>
        <v>12116</v>
      </c>
      <c r="AK131" s="65"/>
      <c r="AL131" s="66">
        <v>11000</v>
      </c>
    </row>
    <row r="132" spans="1:38" hidden="1" x14ac:dyDescent="0.25">
      <c r="A132" s="39">
        <v>130024</v>
      </c>
      <c r="B132" s="40" t="s">
        <v>424</v>
      </c>
      <c r="C132" s="40" t="s">
        <v>323</v>
      </c>
      <c r="D132" s="41" t="s">
        <v>87</v>
      </c>
      <c r="E132" s="42" t="s">
        <v>356</v>
      </c>
      <c r="F132" s="42" t="s">
        <v>356</v>
      </c>
      <c r="G132" s="26">
        <f t="shared" si="24"/>
        <v>86176.744186046519</v>
      </c>
      <c r="H132" s="26">
        <v>70043.400000000009</v>
      </c>
      <c r="I132" s="43">
        <v>150344</v>
      </c>
      <c r="J132" s="43">
        <v>122043</v>
      </c>
      <c r="K132" s="44">
        <v>125250</v>
      </c>
      <c r="L132" s="43">
        <v>124847</v>
      </c>
      <c r="M132" s="44">
        <v>129940</v>
      </c>
      <c r="N132" s="44">
        <v>117089</v>
      </c>
      <c r="O132" s="43">
        <v>3356</v>
      </c>
      <c r="P132" s="44">
        <v>7635</v>
      </c>
      <c r="Q132" s="44">
        <v>20698</v>
      </c>
      <c r="R132" s="43">
        <v>2385</v>
      </c>
      <c r="S132" s="44">
        <v>26302</v>
      </c>
      <c r="T132" s="44">
        <v>26530</v>
      </c>
      <c r="U132" s="45">
        <f t="shared" si="26"/>
        <v>150582.5</v>
      </c>
      <c r="V132" s="45">
        <f t="shared" si="27"/>
        <v>125182.6</v>
      </c>
      <c r="W132" s="45">
        <f>SUM(U132*'Factors &amp; Percentages'!$E$6+V132*'Factors &amp; Percentages'!$E$7)</f>
        <v>23094.186079417319</v>
      </c>
      <c r="X132" s="46">
        <v>0.4</v>
      </c>
      <c r="Y132" s="45">
        <f>X132*'Factors &amp; Percentages'!$E$10</f>
        <v>5664.3877145238439</v>
      </c>
      <c r="Z132" s="47">
        <v>0.42235080457828272</v>
      </c>
      <c r="AA132" s="45">
        <f>+'Factors &amp; Percentages'!E$13*Z132</f>
        <v>70394.96190139823</v>
      </c>
      <c r="AB132" s="48">
        <v>70</v>
      </c>
      <c r="AC132" s="49">
        <v>115</v>
      </c>
      <c r="AD132" s="50">
        <v>3555</v>
      </c>
      <c r="AE132" s="45">
        <f>AB132*'Factors &amp; Percentages'!$E$16+AC132*'Factors &amp; Percentages'!$E$17+AD132*'Factors &amp; Percentages'!$E$18</f>
        <v>13096.847494436352</v>
      </c>
      <c r="AF132" s="45">
        <f t="shared" si="28"/>
        <v>112250.38318977575</v>
      </c>
      <c r="AG132" s="51">
        <f t="shared" si="29"/>
        <v>97723.6</v>
      </c>
      <c r="AH132" s="26">
        <f>IF($AL132&gt;$AF132,$AL132*(1+'Factors &amp; Percentages'!$B$3),
IF($AF132&gt;$AG132,$AG132,
IF($AF132&gt;$BOJ132,$AF132,
$AL132*(1+'Factors &amp; Percentages'!$B$3))))</f>
        <v>97723.6</v>
      </c>
      <c r="AI132" s="26">
        <f>IF(+MIN(AH132,+X132*2*AK$1)-(AL132*(1+'Factors &amp; Percentages'!B$3))&gt;0,0,+MIN(AH132,+X132*2*AK$1)-(AL132*(1+'Factors &amp; Percentages'!B$3)))</f>
        <v>0</v>
      </c>
      <c r="AJ132" s="26">
        <f t="shared" si="25"/>
        <v>86176.744186046519</v>
      </c>
      <c r="AK132" s="51"/>
      <c r="AL132" s="52">
        <v>70043</v>
      </c>
    </row>
    <row r="133" spans="1:38" x14ac:dyDescent="0.25">
      <c r="A133" s="53">
        <v>130051</v>
      </c>
      <c r="B133" s="54" t="s">
        <v>425</v>
      </c>
      <c r="C133" s="54" t="s">
        <v>101</v>
      </c>
      <c r="D133" s="55" t="s">
        <v>101</v>
      </c>
      <c r="E133" s="56" t="s">
        <v>357</v>
      </c>
      <c r="F133" s="56" t="s">
        <v>95</v>
      </c>
      <c r="G133" s="64">
        <f t="shared" si="24"/>
        <v>34915.237178092866</v>
      </c>
      <c r="H133" s="64">
        <v>27067.974172252172</v>
      </c>
      <c r="I133" s="57">
        <v>32529</v>
      </c>
      <c r="J133" s="57">
        <v>28990</v>
      </c>
      <c r="K133" s="58">
        <v>26620</v>
      </c>
      <c r="L133" s="57">
        <v>40568</v>
      </c>
      <c r="M133" s="58">
        <v>36051</v>
      </c>
      <c r="N133" s="58">
        <v>32161</v>
      </c>
      <c r="O133" s="57">
        <v>16050</v>
      </c>
      <c r="P133" s="58">
        <v>336</v>
      </c>
      <c r="Q133" s="58">
        <v>0</v>
      </c>
      <c r="R133" s="57">
        <v>1971</v>
      </c>
      <c r="S133" s="58">
        <v>1742</v>
      </c>
      <c r="T133" s="58">
        <v>0</v>
      </c>
      <c r="U133" s="59">
        <f t="shared" si="26"/>
        <v>32726.1</v>
      </c>
      <c r="V133" s="59">
        <f t="shared" si="27"/>
        <v>42173</v>
      </c>
      <c r="W133" s="59">
        <f>SUM(U133*'Factors &amp; Percentages'!$E$6+V133*'Factors &amp; Percentages'!$E$7)</f>
        <v>6069.1269913181613</v>
      </c>
      <c r="X133" s="60">
        <v>1</v>
      </c>
      <c r="Y133" s="59">
        <f>X133*'Factors &amp; Percentages'!$E$10</f>
        <v>14160.96928630961</v>
      </c>
      <c r="Z133" s="61">
        <v>3.9885926250922361E-2</v>
      </c>
      <c r="AA133" s="59">
        <f>+'Factors &amp; Percentages'!E$13*Z133</f>
        <v>6647.9529064451899</v>
      </c>
      <c r="AB133" s="62">
        <v>38</v>
      </c>
      <c r="AC133" s="85">
        <v>45</v>
      </c>
      <c r="AD133" s="63">
        <v>8158</v>
      </c>
      <c r="AE133" s="59">
        <f>AB133*'Factors &amp; Percentages'!$E$16+AC133*'Factors &amp; Percentages'!$E$17+AD133*'Factors &amp; Percentages'!$E$18</f>
        <v>8037.1879940199042</v>
      </c>
      <c r="AF133" s="59">
        <f t="shared" si="28"/>
        <v>34915.237178092866</v>
      </c>
      <c r="AG133" s="65">
        <f t="shared" si="29"/>
        <v>34915.237178092866</v>
      </c>
      <c r="AH133" s="64">
        <f>IF($AL133&gt;$AF133,$AL133*(1+'Factors &amp; Percentages'!$B$3),
IF($AF133&gt;$AG133,$AG133,
IF($AF133&gt;$BOJ133,$AF133,
$AL133*(1+'Factors &amp; Percentages'!$B$3))))</f>
        <v>34915.237178092866</v>
      </c>
      <c r="AI133" s="64">
        <f>IF(+MIN(AH133,+X133*2*AK$1)-(AL133*(1+'Factors &amp; Percentages'!B$3))&gt;0,0,+MIN(AH133,+X133*2*AK$1)-(AL133*(1+'Factors &amp; Percentages'!B$3)))</f>
        <v>0</v>
      </c>
      <c r="AJ133" s="64">
        <f t="shared" si="25"/>
        <v>34915.237178092866</v>
      </c>
      <c r="AK133" s="65"/>
      <c r="AL133" s="66">
        <v>9000</v>
      </c>
    </row>
    <row r="134" spans="1:38" x14ac:dyDescent="0.25">
      <c r="A134" s="39">
        <v>130101</v>
      </c>
      <c r="B134" s="40" t="s">
        <v>426</v>
      </c>
      <c r="C134" s="40" t="s">
        <v>324</v>
      </c>
      <c r="D134" s="69" t="s">
        <v>204</v>
      </c>
      <c r="E134" s="42" t="s">
        <v>357</v>
      </c>
      <c r="F134" s="42" t="s">
        <v>256</v>
      </c>
      <c r="G134" s="26">
        <f t="shared" si="24"/>
        <v>16376.75</v>
      </c>
      <c r="H134" s="26">
        <v>17067.7</v>
      </c>
      <c r="I134" s="43">
        <v>25195</v>
      </c>
      <c r="J134" s="43">
        <v>26258</v>
      </c>
      <c r="K134" s="44">
        <v>36688</v>
      </c>
      <c r="L134" s="43">
        <v>6086</v>
      </c>
      <c r="M134" s="44">
        <v>4233</v>
      </c>
      <c r="N134" s="44">
        <v>8452</v>
      </c>
      <c r="O134" s="43">
        <v>13439</v>
      </c>
      <c r="P134" s="44">
        <v>14482</v>
      </c>
      <c r="Q134" s="44">
        <v>20731</v>
      </c>
      <c r="R134" s="43">
        <v>2426</v>
      </c>
      <c r="S134" s="44">
        <v>0</v>
      </c>
      <c r="T134" s="44">
        <v>0</v>
      </c>
      <c r="U134" s="45">
        <f t="shared" si="26"/>
        <v>25437.599999999999</v>
      </c>
      <c r="V134" s="45">
        <f t="shared" si="27"/>
        <v>7429.9</v>
      </c>
      <c r="W134" s="45">
        <f>SUM(U134*'Factors &amp; Percentages'!$E$6+V134*'Factors &amp; Percentages'!$E$7)</f>
        <v>2938.8940911064465</v>
      </c>
      <c r="X134" s="46">
        <v>0.3</v>
      </c>
      <c r="Y134" s="45">
        <f>X134*'Factors &amp; Percentages'!$E$10</f>
        <v>4248.2907858928829</v>
      </c>
      <c r="Z134" s="47">
        <v>5.0477517313788439E-2</v>
      </c>
      <c r="AA134" s="45">
        <f>+'Factors &amp; Percentages'!E$13*Z134</f>
        <v>8413.2973577008797</v>
      </c>
      <c r="AB134" s="48">
        <v>34</v>
      </c>
      <c r="AC134" s="49">
        <v>54</v>
      </c>
      <c r="AD134" s="50">
        <v>5753</v>
      </c>
      <c r="AE134" s="45">
        <f>AB134*'Factors &amp; Percentages'!$E$16+AC134*'Factors &amp; Percentages'!$E$17+AD134*'Factors &amp; Percentages'!$E$18</f>
        <v>7199.4259377601793</v>
      </c>
      <c r="AF134" s="45">
        <f t="shared" si="28"/>
        <v>22799.908172460389</v>
      </c>
      <c r="AG134" s="51">
        <f t="shared" si="29"/>
        <v>16376.75</v>
      </c>
      <c r="AH134" s="26">
        <f>IF($AL134&gt;$AF134,$AL134*(1+'Factors &amp; Percentages'!$B$3),
IF($AF134&gt;$AG134,$AG134,
IF($AF134&gt;$BOJ134,$AF134,
$AL134*(1+'Factors &amp; Percentages'!$B$3))))</f>
        <v>16376.75</v>
      </c>
      <c r="AI134" s="26">
        <f>IF(+MIN(AH134,+X134*2*AK$1)-(AL134*(1+'Factors &amp; Percentages'!B$3))&gt;0,0,+MIN(AH134,+X134*2*AK$1)-(AL134*(1+'Factors &amp; Percentages'!B$3)))</f>
        <v>0</v>
      </c>
      <c r="AJ134" s="26">
        <f t="shared" si="25"/>
        <v>16376.75</v>
      </c>
      <c r="AK134" s="51"/>
      <c r="AL134" s="52">
        <v>15000</v>
      </c>
    </row>
    <row r="135" spans="1:38" hidden="1" x14ac:dyDescent="0.25">
      <c r="A135" s="53">
        <v>130027</v>
      </c>
      <c r="B135" s="54" t="s">
        <v>427</v>
      </c>
      <c r="C135" s="54" t="s">
        <v>325</v>
      </c>
      <c r="D135" s="55" t="s">
        <v>222</v>
      </c>
      <c r="E135" s="56" t="s">
        <v>356</v>
      </c>
      <c r="F135" s="56" t="s">
        <v>356</v>
      </c>
      <c r="G135" s="64">
        <f t="shared" si="24"/>
        <v>26746.450000000004</v>
      </c>
      <c r="H135" s="64">
        <v>25388.5</v>
      </c>
      <c r="I135" s="57">
        <v>56533</v>
      </c>
      <c r="J135" s="57">
        <v>48290</v>
      </c>
      <c r="K135" s="58">
        <v>51159</v>
      </c>
      <c r="L135" s="57">
        <v>24582</v>
      </c>
      <c r="M135" s="58">
        <v>26704</v>
      </c>
      <c r="N135" s="58">
        <v>27385</v>
      </c>
      <c r="O135" s="57">
        <v>28634</v>
      </c>
      <c r="P135" s="58">
        <v>23709</v>
      </c>
      <c r="Q135" s="58">
        <v>22794</v>
      </c>
      <c r="R135" s="57">
        <v>14218</v>
      </c>
      <c r="S135" s="58">
        <v>6855</v>
      </c>
      <c r="T135" s="58">
        <v>10569</v>
      </c>
      <c r="U135" s="59">
        <f t="shared" si="26"/>
        <v>57954.8</v>
      </c>
      <c r="V135" s="59">
        <f t="shared" si="27"/>
        <v>27445.4</v>
      </c>
      <c r="W135" s="59">
        <f>SUM(U135*'Factors &amp; Percentages'!$E$6+V135*'Factors &amp; Percentages'!$E$7)</f>
        <v>7433.6297454461501</v>
      </c>
      <c r="X135" s="60">
        <v>0.5</v>
      </c>
      <c r="Y135" s="59">
        <f>X135*'Factors &amp; Percentages'!$E$10</f>
        <v>7080.4846431548049</v>
      </c>
      <c r="Z135" s="61">
        <v>0.12315422603726647</v>
      </c>
      <c r="AA135" s="59">
        <f>+'Factors &amp; Percentages'!E$13*Z135</f>
        <v>20526.626103023507</v>
      </c>
      <c r="AB135" s="62">
        <v>55</v>
      </c>
      <c r="AC135" s="85">
        <v>63</v>
      </c>
      <c r="AD135" s="63">
        <v>8601</v>
      </c>
      <c r="AE135" s="59">
        <f>AB135*'Factors &amp; Percentages'!$E$16+AC135*'Factors &amp; Percentages'!$E$17+AD135*'Factors &amp; Percentages'!$E$18</f>
        <v>10873.76591940638</v>
      </c>
      <c r="AF135" s="59">
        <f t="shared" si="28"/>
        <v>45914.506411030845</v>
      </c>
      <c r="AG135" s="65">
        <f t="shared" si="29"/>
        <v>36746.450000000004</v>
      </c>
      <c r="AH135" s="64">
        <f>IF($AL135&gt;$AF135,$AL135*(1+'Factors &amp; Percentages'!$B$3),
IF($AF135&gt;$AG135,$AG135,
IF($AF135&gt;$BOJ135,$AF135,
$AL135*(1+'Factors &amp; Percentages'!$B$3))))</f>
        <v>36746.450000000004</v>
      </c>
      <c r="AI135" s="64">
        <f>IF(+MIN(AH135,+X135*2*AK$1)-(AL135*(1+'Factors &amp; Percentages'!B$3))&gt;0,0,+MIN(AH135,+X135*2*AK$1)-(AL135*(1+'Factors &amp; Percentages'!B$3)))</f>
        <v>0</v>
      </c>
      <c r="AJ135" s="64">
        <f>MIN(AH135-AI135,+X135*2*AK$1)-10000</f>
        <v>26746.450000000004</v>
      </c>
      <c r="AK135" s="65"/>
      <c r="AL135" s="66">
        <v>24256</v>
      </c>
    </row>
    <row r="136" spans="1:38" x14ac:dyDescent="0.25">
      <c r="A136" s="39">
        <v>130165</v>
      </c>
      <c r="B136" s="40" t="s">
        <v>196</v>
      </c>
      <c r="C136" s="40" t="s">
        <v>196</v>
      </c>
      <c r="D136" s="41" t="s">
        <v>196</v>
      </c>
      <c r="E136" s="42" t="s">
        <v>357</v>
      </c>
      <c r="F136" s="42" t="s">
        <v>249</v>
      </c>
      <c r="G136" s="26">
        <f t="shared" si="24"/>
        <v>38706.912429867007</v>
      </c>
      <c r="H136" s="26">
        <v>48569.401912383393</v>
      </c>
      <c r="I136" s="43">
        <v>42773</v>
      </c>
      <c r="J136" s="43">
        <v>47958</v>
      </c>
      <c r="K136" s="44">
        <v>37488</v>
      </c>
      <c r="L136" s="43">
        <v>45768</v>
      </c>
      <c r="M136" s="44">
        <v>49606</v>
      </c>
      <c r="N136" s="44">
        <v>59662</v>
      </c>
      <c r="O136" s="43">
        <v>6040</v>
      </c>
      <c r="P136" s="44">
        <v>1170</v>
      </c>
      <c r="Q136" s="44">
        <v>7517</v>
      </c>
      <c r="R136" s="43">
        <v>5500</v>
      </c>
      <c r="S136" s="44">
        <v>6596</v>
      </c>
      <c r="T136" s="44">
        <v>3267</v>
      </c>
      <c r="U136" s="45">
        <f t="shared" si="26"/>
        <v>43323</v>
      </c>
      <c r="V136" s="45">
        <f t="shared" si="27"/>
        <v>46372</v>
      </c>
      <c r="W136" s="45">
        <f>SUM(U136*'Factors &amp; Percentages'!$E$6+V136*'Factors &amp; Percentages'!$E$7)</f>
        <v>7370.8660629085871</v>
      </c>
      <c r="X136" s="46">
        <v>1</v>
      </c>
      <c r="Y136" s="45">
        <f>X136*'Factors &amp; Percentages'!$E$10</f>
        <v>14160.96928630961</v>
      </c>
      <c r="Z136" s="47">
        <v>2.1049751086693397E-2</v>
      </c>
      <c r="AA136" s="45">
        <f>+'Factors &amp; Percentages'!E$13*Z136</f>
        <v>3508.4493973233257</v>
      </c>
      <c r="AB136" s="48">
        <v>37</v>
      </c>
      <c r="AC136" s="49">
        <v>61</v>
      </c>
      <c r="AD136" s="50">
        <v>32530</v>
      </c>
      <c r="AE136" s="45">
        <f>AB136*'Factors &amp; Percentages'!$E$16+AC136*'Factors &amp; Percentages'!$E$17+AD136*'Factors &amp; Percentages'!$E$18</f>
        <v>13666.627683325489</v>
      </c>
      <c r="AF136" s="45">
        <f t="shared" si="28"/>
        <v>38706.912429867007</v>
      </c>
      <c r="AG136" s="51">
        <f t="shared" si="29"/>
        <v>38706.912429867007</v>
      </c>
      <c r="AH136" s="26">
        <f>IF($AL136&gt;$AF136,$AL136*(1+'Factors &amp; Percentages'!$B$3),
IF($AF136&gt;$AG136,$AG136,
IF($AF136&gt;$BOJ136,$AF136,
$AL136*(1+'Factors &amp; Percentages'!$B$3))))</f>
        <v>38706.912429867007</v>
      </c>
      <c r="AI136" s="26">
        <f>IF(+MIN(AH136,+X136*2*AK$1)-(AL136*(1+'Factors &amp; Percentages'!B$3))&gt;0,0,+MIN(AH136,+X136*2*AK$1)-(AL136*(1+'Factors &amp; Percentages'!B$3)))</f>
        <v>0</v>
      </c>
      <c r="AJ136" s="26">
        <f t="shared" ref="AJ136:AJ167" si="30">MIN(AH136-AI136,+X136*2*AK$1)</f>
        <v>38706.912429867007</v>
      </c>
      <c r="AK136" s="51"/>
      <c r="AL136" s="52">
        <v>10000</v>
      </c>
    </row>
    <row r="137" spans="1:38" hidden="1" x14ac:dyDescent="0.25">
      <c r="A137" s="53">
        <v>130310</v>
      </c>
      <c r="B137" s="54" t="s">
        <v>428</v>
      </c>
      <c r="C137" s="54" t="s">
        <v>326</v>
      </c>
      <c r="D137" s="55" t="s">
        <v>178</v>
      </c>
      <c r="E137" s="56" t="s">
        <v>237</v>
      </c>
      <c r="F137" s="56" t="s">
        <v>238</v>
      </c>
      <c r="G137" s="64">
        <f t="shared" si="24"/>
        <v>46221.51227451102</v>
      </c>
      <c r="H137" s="64">
        <v>42745.516197865698</v>
      </c>
      <c r="I137" s="57">
        <v>99742</v>
      </c>
      <c r="J137" s="57">
        <v>79307</v>
      </c>
      <c r="K137" s="58">
        <v>73635</v>
      </c>
      <c r="L137" s="57">
        <v>79118</v>
      </c>
      <c r="M137" s="58">
        <v>36775</v>
      </c>
      <c r="N137" s="58">
        <v>75672</v>
      </c>
      <c r="O137" s="57">
        <v>14365</v>
      </c>
      <c r="P137" s="58">
        <v>29529</v>
      </c>
      <c r="Q137" s="58">
        <v>14799</v>
      </c>
      <c r="R137" s="57">
        <v>1345</v>
      </c>
      <c r="S137" s="58">
        <v>15641</v>
      </c>
      <c r="T137" s="58">
        <v>6628</v>
      </c>
      <c r="U137" s="59">
        <f t="shared" si="26"/>
        <v>99876.5</v>
      </c>
      <c r="V137" s="59">
        <f t="shared" si="27"/>
        <v>80554.5</v>
      </c>
      <c r="W137" s="59">
        <f>SUM(U137*'Factors &amp; Percentages'!$E$6+V137*'Factors &amp; Percentages'!$E$7)</f>
        <v>15143.979293703902</v>
      </c>
      <c r="X137" s="60">
        <v>0.5</v>
      </c>
      <c r="Y137" s="59">
        <f>X137*'Factors &amp; Percentages'!$E$10</f>
        <v>7080.4846431548049</v>
      </c>
      <c r="Z137" s="61">
        <v>6.4145327654333659E-2</v>
      </c>
      <c r="AA137" s="59">
        <f>+'Factors &amp; Percentages'!E$13*Z137</f>
        <v>10691.3680462578</v>
      </c>
      <c r="AB137" s="62">
        <v>61</v>
      </c>
      <c r="AC137" s="85">
        <v>106</v>
      </c>
      <c r="AD137" s="63">
        <v>11040</v>
      </c>
      <c r="AE137" s="59">
        <f>AB137*'Factors &amp; Percentages'!$E$16+AC137*'Factors &amp; Percentages'!$E$17+AD137*'Factors &amp; Percentages'!$E$18</f>
        <v>13305.680291394514</v>
      </c>
      <c r="AF137" s="59">
        <f t="shared" si="28"/>
        <v>46221.51227451102</v>
      </c>
      <c r="AG137" s="65">
        <f t="shared" si="29"/>
        <v>46221.51227451102</v>
      </c>
      <c r="AH137" s="64">
        <f>IF($AL137&gt;$AF137,$AL137*(1+'Factors &amp; Percentages'!$B$3),
IF($AF137&gt;$AG137,$AG137,
IF($AF137&gt;$BOJ137,$AF137,
$AL137*(1+'Factors &amp; Percentages'!$B$3))))</f>
        <v>46221.51227451102</v>
      </c>
      <c r="AI137" s="64">
        <f>IF(+MIN(AH137,+X137*2*AK$1)-(AL137*(1+'Factors &amp; Percentages'!B$3))&gt;0,0,+MIN(AH137,+X137*2*AK$1)-(AL137*(1+'Factors &amp; Percentages'!B$3)))</f>
        <v>0</v>
      </c>
      <c r="AJ137" s="64">
        <f t="shared" si="30"/>
        <v>46221.51227451102</v>
      </c>
      <c r="AK137" s="65"/>
      <c r="AL137" s="66">
        <v>42746</v>
      </c>
    </row>
    <row r="138" spans="1:38" hidden="1" x14ac:dyDescent="0.25">
      <c r="A138" s="39">
        <v>130311</v>
      </c>
      <c r="B138" s="40" t="s">
        <v>429</v>
      </c>
      <c r="C138" s="40" t="s">
        <v>327</v>
      </c>
      <c r="D138" s="41" t="s">
        <v>179</v>
      </c>
      <c r="E138" s="42" t="s">
        <v>237</v>
      </c>
      <c r="F138" s="42" t="s">
        <v>238</v>
      </c>
      <c r="G138" s="26">
        <v>24974.390530150598</v>
      </c>
      <c r="H138" s="26">
        <v>21297.56893364172</v>
      </c>
      <c r="I138" s="43">
        <v>31958</v>
      </c>
      <c r="J138" s="44">
        <v>32472</v>
      </c>
      <c r="K138" s="44">
        <v>32265</v>
      </c>
      <c r="L138" s="43">
        <v>47246</v>
      </c>
      <c r="M138" s="44">
        <v>62001</v>
      </c>
      <c r="N138" s="44">
        <v>68962</v>
      </c>
      <c r="O138" s="43">
        <v>13461</v>
      </c>
      <c r="P138" s="44">
        <v>15967</v>
      </c>
      <c r="Q138" s="44">
        <v>4696</v>
      </c>
      <c r="R138" s="43">
        <v>0</v>
      </c>
      <c r="S138" s="44">
        <v>0</v>
      </c>
      <c r="T138" s="44">
        <v>0</v>
      </c>
      <c r="U138" s="45">
        <v>31958</v>
      </c>
      <c r="V138" s="45">
        <v>48592.1</v>
      </c>
      <c r="W138" s="45">
        <v>6446.4802412823337</v>
      </c>
      <c r="X138" s="46">
        <v>0.5</v>
      </c>
      <c r="Y138" s="45">
        <v>7080.4846431548049</v>
      </c>
      <c r="Z138" s="47">
        <v>2.6578920789500263E-2</v>
      </c>
      <c r="AA138" s="45">
        <v>4430.0190648988291</v>
      </c>
      <c r="AB138" s="48">
        <v>28</v>
      </c>
      <c r="AC138" s="49">
        <v>44</v>
      </c>
      <c r="AD138" s="50">
        <v>9743</v>
      </c>
      <c r="AE138" s="45">
        <v>7017.406580814657</v>
      </c>
      <c r="AF138" s="45">
        <v>24974.390530150624</v>
      </c>
      <c r="AG138" s="51">
        <v>24974.390530150624</v>
      </c>
      <c r="AH138" s="26">
        <v>24974.390530150624</v>
      </c>
      <c r="AI138" s="26">
        <f>IF(+MIN(AH138,+X138*2*AK$1)-(AL138*(1+'Factors &amp; Percentages'!B$3))&gt;0,0,+MIN(AH138,+X138*2*AK$1)-(AL138*(1+'Factors &amp; Percentages'!B$3)))</f>
        <v>0</v>
      </c>
      <c r="AJ138" s="26">
        <f t="shared" si="30"/>
        <v>24974.390530150624</v>
      </c>
      <c r="AK138" s="51"/>
      <c r="AL138" s="52">
        <v>15000</v>
      </c>
    </row>
    <row r="139" spans="1:38" hidden="1" x14ac:dyDescent="0.25">
      <c r="A139" s="53">
        <v>130263</v>
      </c>
      <c r="B139" s="54" t="s">
        <v>430</v>
      </c>
      <c r="C139" s="54" t="s">
        <v>136</v>
      </c>
      <c r="D139" s="55" t="s">
        <v>136</v>
      </c>
      <c r="E139" s="56" t="s">
        <v>237</v>
      </c>
      <c r="F139" s="56" t="s">
        <v>126</v>
      </c>
      <c r="G139" s="64">
        <f t="shared" ref="G139:G170" si="31">+AJ139</f>
        <v>34516.725730339094</v>
      </c>
      <c r="H139" s="64">
        <v>29055.419151595779</v>
      </c>
      <c r="I139" s="57">
        <v>30721</v>
      </c>
      <c r="J139" s="58">
        <v>28770</v>
      </c>
      <c r="K139" s="58">
        <v>28151</v>
      </c>
      <c r="L139" s="57">
        <v>37445</v>
      </c>
      <c r="M139" s="58">
        <v>30230</v>
      </c>
      <c r="N139" s="58">
        <v>32352</v>
      </c>
      <c r="O139" s="57">
        <v>33065</v>
      </c>
      <c r="P139" s="58">
        <v>31310</v>
      </c>
      <c r="Q139" s="58">
        <v>29796</v>
      </c>
      <c r="R139" s="57">
        <v>2724</v>
      </c>
      <c r="S139" s="58">
        <v>7730</v>
      </c>
      <c r="T139" s="58">
        <v>7176</v>
      </c>
      <c r="U139" s="59">
        <f t="shared" ref="U139:U170" si="32">I139+R139*0.1</f>
        <v>30993.4</v>
      </c>
      <c r="V139" s="59">
        <f t="shared" ref="V139:V170" si="33">L139+0.1*O139</f>
        <v>40751.5</v>
      </c>
      <c r="W139" s="59">
        <f>SUM(U139*'Factors &amp; Percentages'!$E$6+V139*'Factors &amp; Percentages'!$E$7)</f>
        <v>5804.7185533012544</v>
      </c>
      <c r="X139" s="60">
        <v>1</v>
      </c>
      <c r="Y139" s="59">
        <f>X139*'Factors &amp; Percentages'!$E$10</f>
        <v>14160.96928630961</v>
      </c>
      <c r="Z139" s="61">
        <v>2.5117423956998969E-2</v>
      </c>
      <c r="AA139" s="59">
        <f>+'Factors &amp; Percentages'!E$13*Z139</f>
        <v>4186.425320722894</v>
      </c>
      <c r="AB139" s="62">
        <v>42</v>
      </c>
      <c r="AC139" s="85">
        <v>59</v>
      </c>
      <c r="AD139" s="63">
        <v>14687</v>
      </c>
      <c r="AE139" s="59">
        <f>AB139*'Factors &amp; Percentages'!$E$16+AC139*'Factors &amp; Percentages'!$E$17+AD139*'Factors &amp; Percentages'!$E$18</f>
        <v>10364.612570005334</v>
      </c>
      <c r="AF139" s="59">
        <f t="shared" ref="AF139:AF170" si="34">W139+Y139+AA139+AE139</f>
        <v>34516.725730339094</v>
      </c>
      <c r="AG139" s="65">
        <f t="shared" ref="AG139:AG170" si="35">IF($L139&gt;SUM(I139:K139)/3,$AF139,MIN(AF139,$I139*0.65))</f>
        <v>34516.725730339094</v>
      </c>
      <c r="AH139" s="64">
        <f>IF($AL139&gt;$AF139,$AL139*(1+'Factors &amp; Percentages'!$B$3),
IF($AF139&gt;$AG139,$AG139,
IF($AF139&gt;$BOJ139,$AF139,
$AL139*(1+'Factors &amp; Percentages'!$B$3))))</f>
        <v>34516.725730339094</v>
      </c>
      <c r="AI139" s="64">
        <f>IF(+MIN(AH139,+X139*2*AK$1)-(AL139*(1+'Factors &amp; Percentages'!B$3))&gt;0,0,+MIN(AH139,+X139*2*AK$1)-(AL139*(1+'Factors &amp; Percentages'!B$3)))</f>
        <v>0</v>
      </c>
      <c r="AJ139" s="64">
        <f t="shared" si="30"/>
        <v>34516.725730339094</v>
      </c>
      <c r="AK139" s="65"/>
      <c r="AL139" s="66">
        <v>14300</v>
      </c>
    </row>
    <row r="140" spans="1:38" x14ac:dyDescent="0.25">
      <c r="A140" s="39">
        <v>130007</v>
      </c>
      <c r="B140" s="40" t="s">
        <v>52</v>
      </c>
      <c r="C140" s="40" t="s">
        <v>328</v>
      </c>
      <c r="D140" s="69" t="s">
        <v>52</v>
      </c>
      <c r="E140" s="42" t="s">
        <v>357</v>
      </c>
      <c r="F140" s="42" t="s">
        <v>256</v>
      </c>
      <c r="G140" s="26">
        <f t="shared" si="31"/>
        <v>34485.990987190642</v>
      </c>
      <c r="H140" s="26">
        <v>34651.222724896303</v>
      </c>
      <c r="I140" s="43">
        <v>58127</v>
      </c>
      <c r="J140" s="44">
        <v>63240</v>
      </c>
      <c r="K140" s="44">
        <v>40639</v>
      </c>
      <c r="L140" s="43">
        <v>7830</v>
      </c>
      <c r="M140" s="44">
        <v>15044</v>
      </c>
      <c r="N140" s="44">
        <v>15215</v>
      </c>
      <c r="O140" s="43">
        <v>13298</v>
      </c>
      <c r="P140" s="44">
        <v>17852</v>
      </c>
      <c r="Q140" s="44">
        <v>11547</v>
      </c>
      <c r="R140" s="43">
        <v>122</v>
      </c>
      <c r="S140" s="44">
        <v>11827</v>
      </c>
      <c r="T140" s="44">
        <v>500</v>
      </c>
      <c r="U140" s="45">
        <f t="shared" si="32"/>
        <v>58139.199999999997</v>
      </c>
      <c r="V140" s="45">
        <f t="shared" si="33"/>
        <v>9159.7999999999993</v>
      </c>
      <c r="W140" s="45">
        <f>SUM(U140*'Factors &amp; Percentages'!$E$6+V140*'Factors &amp; Percentages'!$E$7)</f>
        <v>6168.2649020407925</v>
      </c>
      <c r="X140" s="46">
        <v>1</v>
      </c>
      <c r="Y140" s="45">
        <f>X140*'Factors &amp; Percentages'!$E$10</f>
        <v>14160.96928630961</v>
      </c>
      <c r="Z140" s="47">
        <v>4.1085815943761733E-2</v>
      </c>
      <c r="AA140" s="45">
        <f>+'Factors &amp; Percentages'!E$13*Z140</f>
        <v>6847.9435026455394</v>
      </c>
      <c r="AB140" s="48">
        <v>30</v>
      </c>
      <c r="AC140" s="49">
        <v>30</v>
      </c>
      <c r="AD140" s="50">
        <v>11461</v>
      </c>
      <c r="AE140" s="45">
        <f>AB140*'Factors &amp; Percentages'!$E$16+AC140*'Factors &amp; Percentages'!$E$17+AD140*'Factors &amp; Percentages'!$E$18</f>
        <v>7308.8132961947013</v>
      </c>
      <c r="AF140" s="45">
        <f t="shared" si="34"/>
        <v>34485.990987190642</v>
      </c>
      <c r="AG140" s="51">
        <f t="shared" si="35"/>
        <v>34485.990987190642</v>
      </c>
      <c r="AH140" s="26">
        <f>IF($AL140&gt;$AF140,$AL140*(1+'Factors &amp; Percentages'!$B$3),
IF($AF140&gt;$AG140,$AG140,
IF($AF140&gt;$BOJ140,$AF140,
$AL140*(1+'Factors &amp; Percentages'!$B$3))))</f>
        <v>34485.990987190642</v>
      </c>
      <c r="AI140" s="26">
        <f>IF(+MIN(AH140,+X140*2*AK$1)-(AL140*(1+'Factors &amp; Percentages'!B$3))&gt;0,0,+MIN(AH140,+X140*2*AK$1)-(AL140*(1+'Factors &amp; Percentages'!B$3)))</f>
        <v>0</v>
      </c>
      <c r="AJ140" s="26">
        <f t="shared" si="30"/>
        <v>34485.990987190642</v>
      </c>
      <c r="AK140" s="51"/>
      <c r="AL140" s="52">
        <v>13000</v>
      </c>
    </row>
    <row r="141" spans="1:38" x14ac:dyDescent="0.25">
      <c r="A141" s="53">
        <v>130350</v>
      </c>
      <c r="B141" s="54" t="s">
        <v>329</v>
      </c>
      <c r="C141" s="54" t="s">
        <v>329</v>
      </c>
      <c r="D141" s="56" t="s">
        <v>233</v>
      </c>
      <c r="E141" s="56" t="s">
        <v>357</v>
      </c>
      <c r="F141" s="56" t="s">
        <v>249</v>
      </c>
      <c r="G141" s="64">
        <f t="shared" si="31"/>
        <v>25529.858187697184</v>
      </c>
      <c r="H141" s="64">
        <v>20649.405193475985</v>
      </c>
      <c r="I141" s="57">
        <v>9839</v>
      </c>
      <c r="J141" s="58">
        <v>12790</v>
      </c>
      <c r="K141" s="58">
        <v>13794</v>
      </c>
      <c r="L141" s="57">
        <v>125714</v>
      </c>
      <c r="M141" s="58">
        <v>140757</v>
      </c>
      <c r="N141" s="58">
        <v>71596</v>
      </c>
      <c r="O141" s="57">
        <v>12516</v>
      </c>
      <c r="P141" s="58">
        <v>5258</v>
      </c>
      <c r="Q141" s="58">
        <v>5236</v>
      </c>
      <c r="R141" s="57">
        <v>560</v>
      </c>
      <c r="S141" s="58">
        <v>265</v>
      </c>
      <c r="T141" s="58">
        <v>154</v>
      </c>
      <c r="U141" s="59">
        <f t="shared" si="32"/>
        <v>9895</v>
      </c>
      <c r="V141" s="59">
        <f t="shared" si="33"/>
        <v>126965.6</v>
      </c>
      <c r="W141" s="59">
        <f>SUM(U141*'Factors &amp; Percentages'!$E$6+V141*'Factors &amp; Percentages'!$E$7)</f>
        <v>9848.1513919290537</v>
      </c>
      <c r="X141" s="60">
        <v>0.5</v>
      </c>
      <c r="Y141" s="59">
        <f>X141*'Factors &amp; Percentages'!$E$10</f>
        <v>7080.4846431548049</v>
      </c>
      <c r="Z141" s="61">
        <v>2.2010529837474247E-2</v>
      </c>
      <c r="AA141" s="59">
        <f>+'Factors &amp; Percentages'!E$13*Z141</f>
        <v>3668.5863801909759</v>
      </c>
      <c r="AB141" s="62">
        <v>22</v>
      </c>
      <c r="AC141" s="85">
        <v>38</v>
      </c>
      <c r="AD141" s="63">
        <v>4617</v>
      </c>
      <c r="AE141" s="59">
        <f>AB141*'Factors &amp; Percentages'!$E$16+AC141*'Factors &amp; Percentages'!$E$17+AD141*'Factors &amp; Percentages'!$E$18</f>
        <v>4932.6357724223481</v>
      </c>
      <c r="AF141" s="59">
        <f t="shared" si="34"/>
        <v>25529.858187697184</v>
      </c>
      <c r="AG141" s="65">
        <f t="shared" si="35"/>
        <v>25529.858187697184</v>
      </c>
      <c r="AH141" s="64">
        <f>IF($AL141&gt;$AF141,$AL141*(1+'Factors &amp; Percentages'!$B$3),
IF($AF141&gt;$AG141,$AG141,
IF($AF141&gt;$BOJ141,$AF141,
$AL141*(1+'Factors &amp; Percentages'!$B$3))))</f>
        <v>25529.858187697184</v>
      </c>
      <c r="AI141" s="64">
        <f>IF(+MIN(AH141,+X141*2*AK$1)-(AL141*(1+'Factors &amp; Percentages'!B$3))&gt;0,0,+MIN(AH141,+X141*2*AK$1)-(AL141*(1+'Factors &amp; Percentages'!B$3)))</f>
        <v>0</v>
      </c>
      <c r="AJ141" s="64">
        <f t="shared" si="30"/>
        <v>25529.858187697184</v>
      </c>
      <c r="AK141" s="65"/>
      <c r="AL141" s="66">
        <v>13000</v>
      </c>
    </row>
    <row r="142" spans="1:38" x14ac:dyDescent="0.25">
      <c r="A142" s="39">
        <v>130008</v>
      </c>
      <c r="B142" s="40" t="s">
        <v>330</v>
      </c>
      <c r="C142" s="40" t="s">
        <v>330</v>
      </c>
      <c r="D142" s="69" t="s">
        <v>205</v>
      </c>
      <c r="E142" s="42" t="s">
        <v>357</v>
      </c>
      <c r="F142" s="42" t="s">
        <v>256</v>
      </c>
      <c r="G142" s="26">
        <f t="shared" si="31"/>
        <v>27005.544196917654</v>
      </c>
      <c r="H142" s="26">
        <v>23649.480092546099</v>
      </c>
      <c r="I142" s="43">
        <v>27881</v>
      </c>
      <c r="J142" s="44">
        <v>27881</v>
      </c>
      <c r="K142" s="44">
        <v>36427</v>
      </c>
      <c r="L142" s="43">
        <v>34580</v>
      </c>
      <c r="M142" s="44">
        <v>34580</v>
      </c>
      <c r="N142" s="44">
        <v>44275</v>
      </c>
      <c r="O142" s="43">
        <v>0</v>
      </c>
      <c r="P142" s="44">
        <v>0</v>
      </c>
      <c r="Q142" s="44">
        <v>3907</v>
      </c>
      <c r="R142" s="43">
        <v>0</v>
      </c>
      <c r="S142" s="44">
        <v>0</v>
      </c>
      <c r="T142" s="44">
        <v>390</v>
      </c>
      <c r="U142" s="45">
        <f t="shared" si="32"/>
        <v>27881</v>
      </c>
      <c r="V142" s="45">
        <f t="shared" si="33"/>
        <v>34580</v>
      </c>
      <c r="W142" s="45">
        <f>SUM(U142*'Factors &amp; Percentages'!$E$6+V142*'Factors &amp; Percentages'!$E$7)</f>
        <v>5075.9286640866194</v>
      </c>
      <c r="X142" s="46">
        <v>0.5</v>
      </c>
      <c r="Y142" s="45">
        <f>X142*'Factors &amp; Percentages'!$E$10</f>
        <v>7080.4846431548049</v>
      </c>
      <c r="Z142" s="47">
        <v>4.7446658094637106E-2</v>
      </c>
      <c r="AA142" s="45">
        <f>+'Factors &amp; Percentages'!E$13*Z142</f>
        <v>7908.1314696574154</v>
      </c>
      <c r="AB142" s="48">
        <v>26</v>
      </c>
      <c r="AC142" s="49">
        <v>41</v>
      </c>
      <c r="AD142" s="50">
        <v>10963</v>
      </c>
      <c r="AE142" s="45">
        <f>AB142*'Factors &amp; Percentages'!$E$16+AC142*'Factors &amp; Percentages'!$E$17+AD142*'Factors &amp; Percentages'!$E$18</f>
        <v>6940.9994200188157</v>
      </c>
      <c r="AF142" s="45">
        <f t="shared" si="34"/>
        <v>27005.544196917654</v>
      </c>
      <c r="AG142" s="51">
        <f t="shared" si="35"/>
        <v>27005.544196917654</v>
      </c>
      <c r="AH142" s="26">
        <f>IF($AL142&gt;$AF142,$AL142*(1+'Factors &amp; Percentages'!$B$3),
IF($AF142&gt;$AG142,$AG142,
IF($AF142&gt;$BOJ142,$AF142,
$AL142*(1+'Factors &amp; Percentages'!$B$3))))</f>
        <v>27005.544196917654</v>
      </c>
      <c r="AI142" s="26">
        <f>IF(+MIN(AH142,+X142*2*AK$1)-(AL142*(1+'Factors &amp; Percentages'!B$3))&gt;0,0,+MIN(AH142,+X142*2*AK$1)-(AL142*(1+'Factors &amp; Percentages'!B$3)))</f>
        <v>0</v>
      </c>
      <c r="AJ142" s="26">
        <f t="shared" si="30"/>
        <v>27005.544196917654</v>
      </c>
      <c r="AK142" s="51"/>
      <c r="AL142" s="52">
        <v>20000</v>
      </c>
    </row>
    <row r="143" spans="1:38" x14ac:dyDescent="0.25">
      <c r="A143" s="53">
        <v>130050</v>
      </c>
      <c r="B143" s="54" t="s">
        <v>431</v>
      </c>
      <c r="C143" s="54" t="s">
        <v>102</v>
      </c>
      <c r="D143" s="55" t="s">
        <v>102</v>
      </c>
      <c r="E143" s="56" t="s">
        <v>357</v>
      </c>
      <c r="F143" s="56" t="s">
        <v>95</v>
      </c>
      <c r="G143" s="64">
        <f t="shared" si="31"/>
        <v>37852.5</v>
      </c>
      <c r="H143" s="64">
        <v>38587.5</v>
      </c>
      <c r="I143" s="57">
        <v>52617</v>
      </c>
      <c r="J143" s="58">
        <v>58192</v>
      </c>
      <c r="K143" s="58">
        <v>64397</v>
      </c>
      <c r="L143" s="57">
        <v>11362</v>
      </c>
      <c r="M143" s="58">
        <v>22643</v>
      </c>
      <c r="N143" s="58">
        <v>29239</v>
      </c>
      <c r="O143" s="57">
        <v>15120</v>
      </c>
      <c r="P143" s="58">
        <v>18027</v>
      </c>
      <c r="Q143" s="58">
        <v>22344</v>
      </c>
      <c r="R143" s="57">
        <v>11041</v>
      </c>
      <c r="S143" s="58">
        <v>8781</v>
      </c>
      <c r="T143" s="58">
        <v>13375</v>
      </c>
      <c r="U143" s="59">
        <f t="shared" si="32"/>
        <v>53721.1</v>
      </c>
      <c r="V143" s="59">
        <f t="shared" si="33"/>
        <v>12874</v>
      </c>
      <c r="W143" s="59">
        <f>SUM(U143*'Factors &amp; Percentages'!$E$6+V143*'Factors &amp; Percentages'!$E$7)</f>
        <v>6008.9455365337553</v>
      </c>
      <c r="X143" s="60">
        <v>1</v>
      </c>
      <c r="Y143" s="59">
        <f>X143*'Factors &amp; Percentages'!$E$10</f>
        <v>14160.96928630961</v>
      </c>
      <c r="Z143" s="61">
        <v>2.4083966340248644E-2</v>
      </c>
      <c r="AA143" s="59">
        <f>+'Factors &amp; Percentages'!E$13*Z143</f>
        <v>4014.174649552775</v>
      </c>
      <c r="AB143" s="62">
        <v>34</v>
      </c>
      <c r="AC143" s="85">
        <v>78</v>
      </c>
      <c r="AD143" s="63">
        <v>20643</v>
      </c>
      <c r="AE143" s="59">
        <f>AB143*'Factors &amp; Percentages'!$E$16+AC143*'Factors &amp; Percentages'!$E$17+AD143*'Factors &amp; Percentages'!$E$18</f>
        <v>11081.331043387585</v>
      </c>
      <c r="AF143" s="59">
        <f t="shared" si="34"/>
        <v>35265.420515783728</v>
      </c>
      <c r="AG143" s="65">
        <f t="shared" si="35"/>
        <v>34201.050000000003</v>
      </c>
      <c r="AH143" s="64">
        <f>IF($AL143&gt;$AF143,$AL143*(1+'Factors &amp; Percentages'!$B$3),
IF($AF143&gt;$AG143,$AG143,
IF($AF143&gt;$BOJ143,$AF143,
$AL143*(1+'Factors &amp; Percentages'!$B$3))))</f>
        <v>37852.5</v>
      </c>
      <c r="AI143" s="64">
        <f>IF(+MIN(AH143,+X143*2*AK$1)-(AL143*(1+'Factors &amp; Percentages'!B$3))&gt;0,0,+MIN(AH143,+X143*2*AK$1)-(AL143*(1+'Factors &amp; Percentages'!B$3)))</f>
        <v>0</v>
      </c>
      <c r="AJ143" s="64">
        <f t="shared" si="30"/>
        <v>37852.5</v>
      </c>
      <c r="AK143" s="65"/>
      <c r="AL143" s="66">
        <v>36750</v>
      </c>
    </row>
    <row r="144" spans="1:38" hidden="1" x14ac:dyDescent="0.25">
      <c r="A144" s="39">
        <v>130340</v>
      </c>
      <c r="B144" s="40" t="s">
        <v>432</v>
      </c>
      <c r="C144" s="40" t="s">
        <v>331</v>
      </c>
      <c r="D144" s="41" t="s">
        <v>88</v>
      </c>
      <c r="E144" s="42" t="s">
        <v>356</v>
      </c>
      <c r="F144" s="42" t="s">
        <v>356</v>
      </c>
      <c r="G144" s="26">
        <f t="shared" si="31"/>
        <v>19729.45</v>
      </c>
      <c r="H144" s="26">
        <v>30488.974144633314</v>
      </c>
      <c r="I144" s="43">
        <v>30353</v>
      </c>
      <c r="J144" s="44">
        <v>36784</v>
      </c>
      <c r="K144" s="44">
        <v>30821</v>
      </c>
      <c r="L144" s="43">
        <v>18835</v>
      </c>
      <c r="M144" s="44">
        <v>33208</v>
      </c>
      <c r="N144" s="44">
        <v>33797</v>
      </c>
      <c r="O144" s="43">
        <v>30857</v>
      </c>
      <c r="P144" s="44">
        <v>27707</v>
      </c>
      <c r="Q144" s="44">
        <v>23561</v>
      </c>
      <c r="R144" s="43">
        <v>4150</v>
      </c>
      <c r="S144" s="44">
        <v>2517</v>
      </c>
      <c r="T144" s="44">
        <v>2690</v>
      </c>
      <c r="U144" s="45">
        <f t="shared" si="32"/>
        <v>30768</v>
      </c>
      <c r="V144" s="45">
        <f t="shared" si="33"/>
        <v>21920.7</v>
      </c>
      <c r="W144" s="45">
        <f>SUM(U144*'Factors &amp; Percentages'!$E$6+V144*'Factors &amp; Percentages'!$E$7)</f>
        <v>4462.1553522024251</v>
      </c>
      <c r="X144" s="46">
        <v>0.3</v>
      </c>
      <c r="Y144" s="45">
        <f>X144*'Factors &amp; Percentages'!$E$10</f>
        <v>4248.2907858928829</v>
      </c>
      <c r="Z144" s="47">
        <v>5.8068637129086581E-2</v>
      </c>
      <c r="AA144" s="45">
        <f>+'Factors &amp; Percentages'!E$13*Z144</f>
        <v>9678.540810286313</v>
      </c>
      <c r="AB144" s="48">
        <v>21</v>
      </c>
      <c r="AC144" s="49">
        <v>34</v>
      </c>
      <c r="AD144" s="50">
        <v>1568</v>
      </c>
      <c r="AE144" s="45">
        <f>AB144*'Factors &amp; Percentages'!$E$16+AC144*'Factors &amp; Percentages'!$E$17+AD144*'Factors &amp; Percentages'!$E$18</f>
        <v>4026.6345058398642</v>
      </c>
      <c r="AF144" s="45">
        <f t="shared" si="34"/>
        <v>22415.621454221488</v>
      </c>
      <c r="AG144" s="51">
        <f t="shared" si="35"/>
        <v>19729.45</v>
      </c>
      <c r="AH144" s="26">
        <f>IF($AL144&gt;$AF144,$AL144*(1+'Factors &amp; Percentages'!$B$3),
IF($AF144&gt;$AG144,$AG144,
IF($AF144&gt;$BOJ144,$AF144,
$AL144*(1+'Factors &amp; Percentages'!$B$3))))</f>
        <v>19729.45</v>
      </c>
      <c r="AI144" s="26">
        <f>IF(+MIN(AH144,+X144*2*AK$1)-(AL144*(1+'Factors &amp; Percentages'!B$3))&gt;0,0,+MIN(AH144,+X144*2*AK$1)-(AL144*(1+'Factors &amp; Percentages'!B$3)))</f>
        <v>0</v>
      </c>
      <c r="AJ144" s="26">
        <f t="shared" si="30"/>
        <v>19729.45</v>
      </c>
      <c r="AK144" s="51"/>
      <c r="AL144" s="52">
        <v>15000</v>
      </c>
    </row>
    <row r="145" spans="1:38" hidden="1" x14ac:dyDescent="0.25">
      <c r="A145" s="53">
        <v>130312</v>
      </c>
      <c r="B145" s="54" t="s">
        <v>433</v>
      </c>
      <c r="C145" s="54" t="s">
        <v>332</v>
      </c>
      <c r="D145" s="55" t="s">
        <v>180</v>
      </c>
      <c r="E145" s="56" t="s">
        <v>237</v>
      </c>
      <c r="F145" s="56" t="s">
        <v>238</v>
      </c>
      <c r="G145" s="64">
        <f t="shared" si="31"/>
        <v>90846</v>
      </c>
      <c r="H145" s="64">
        <v>88200</v>
      </c>
      <c r="I145" s="57">
        <v>251775</v>
      </c>
      <c r="J145" s="58">
        <v>241846</v>
      </c>
      <c r="K145" s="58">
        <v>237679</v>
      </c>
      <c r="L145" s="57">
        <v>90010</v>
      </c>
      <c r="M145" s="58">
        <v>72575</v>
      </c>
      <c r="N145" s="58">
        <v>47312</v>
      </c>
      <c r="O145" s="57">
        <v>6245</v>
      </c>
      <c r="P145" s="58">
        <v>11162</v>
      </c>
      <c r="Q145" s="58">
        <v>8946</v>
      </c>
      <c r="R145" s="57">
        <v>13856</v>
      </c>
      <c r="S145" s="58">
        <v>25735</v>
      </c>
      <c r="T145" s="58">
        <v>44386</v>
      </c>
      <c r="U145" s="59">
        <f t="shared" si="32"/>
        <v>253160.6</v>
      </c>
      <c r="V145" s="59">
        <f t="shared" si="33"/>
        <v>90634.5</v>
      </c>
      <c r="W145" s="59">
        <f>SUM(U145*'Factors &amp; Percentages'!$E$6+V145*'Factors &amp; Percentages'!$E$7)</f>
        <v>30419.502029896714</v>
      </c>
      <c r="X145" s="60">
        <v>0.9</v>
      </c>
      <c r="Y145" s="59">
        <f>X145*'Factors &amp; Percentages'!$E$10</f>
        <v>12744.872357678649</v>
      </c>
      <c r="Z145" s="61">
        <v>7.8640463664173765E-2</v>
      </c>
      <c r="AA145" s="59">
        <f>+'Factors &amp; Percentages'!E$13*Z145</f>
        <v>13107.332538588134</v>
      </c>
      <c r="AB145" s="62">
        <v>126</v>
      </c>
      <c r="AC145" s="85">
        <v>126</v>
      </c>
      <c r="AD145" s="63">
        <v>2970</v>
      </c>
      <c r="AE145" s="59">
        <f>AB145*'Factors &amp; Percentages'!$E$16+AC145*'Factors &amp; Percentages'!$E$17+AD145*'Factors &amp; Percentages'!$E$18</f>
        <v>20767.271096226461</v>
      </c>
      <c r="AF145" s="59">
        <f t="shared" si="34"/>
        <v>77038.978022389958</v>
      </c>
      <c r="AG145" s="65">
        <f t="shared" si="35"/>
        <v>77038.978022389958</v>
      </c>
      <c r="AH145" s="64">
        <f>IF($AL145&gt;$AF145,$AL145*(1+'Factors &amp; Percentages'!$B$3),
IF($AF145&gt;$AG145,$AG145,
IF($AF145&gt;$BOJ145,$AF145,
$AL145*(1+'Factors &amp; Percentages'!$B$3))))</f>
        <v>90846</v>
      </c>
      <c r="AI145" s="64">
        <f>IF(+MIN(AH145,+X145*2*AK$1)-(AL145*(1+'Factors &amp; Percentages'!B$3))&gt;0,0,+MIN(AH145,+X145*2*AK$1)-(AL145*(1+'Factors &amp; Percentages'!B$3)))</f>
        <v>0</v>
      </c>
      <c r="AJ145" s="64">
        <f t="shared" si="30"/>
        <v>90846</v>
      </c>
      <c r="AK145" s="65"/>
      <c r="AL145" s="66">
        <v>88200</v>
      </c>
    </row>
    <row r="146" spans="1:38" x14ac:dyDescent="0.25">
      <c r="A146" s="39">
        <v>130126</v>
      </c>
      <c r="B146" s="40" t="s">
        <v>150</v>
      </c>
      <c r="C146" s="40" t="s">
        <v>150</v>
      </c>
      <c r="D146" s="41" t="s">
        <v>150</v>
      </c>
      <c r="E146" s="42" t="s">
        <v>357</v>
      </c>
      <c r="F146" s="42" t="s">
        <v>362</v>
      </c>
      <c r="G146" s="26">
        <f t="shared" si="31"/>
        <v>11073.4</v>
      </c>
      <c r="H146" s="26">
        <v>15241.570768712605</v>
      </c>
      <c r="I146" s="43">
        <v>17036</v>
      </c>
      <c r="J146" s="44">
        <v>26865</v>
      </c>
      <c r="K146" s="44">
        <v>16252</v>
      </c>
      <c r="L146" s="43">
        <v>19366</v>
      </c>
      <c r="M146" s="44">
        <v>21887</v>
      </c>
      <c r="N146" s="44">
        <v>17345</v>
      </c>
      <c r="O146" s="43">
        <v>11956</v>
      </c>
      <c r="P146" s="44">
        <v>8769</v>
      </c>
      <c r="Q146" s="44">
        <v>8631</v>
      </c>
      <c r="R146" s="43">
        <v>9546</v>
      </c>
      <c r="S146" s="44">
        <v>138</v>
      </c>
      <c r="T146" s="44">
        <v>5154</v>
      </c>
      <c r="U146" s="45">
        <f t="shared" si="32"/>
        <v>17990.599999999999</v>
      </c>
      <c r="V146" s="45">
        <f t="shared" si="33"/>
        <v>20561.599999999999</v>
      </c>
      <c r="W146" s="45">
        <f>SUM(U146*'Factors &amp; Percentages'!$E$6+V146*'Factors &amp; Percentages'!$E$7)</f>
        <v>3152.4218122753523</v>
      </c>
      <c r="X146" s="46">
        <v>0.5</v>
      </c>
      <c r="Y146" s="45">
        <f>X146*'Factors &amp; Percentages'!$E$10</f>
        <v>7080.4846431548049</v>
      </c>
      <c r="Z146" s="47">
        <v>1.8653375514833165E-2</v>
      </c>
      <c r="AA146" s="45">
        <f>+'Factors &amp; Percentages'!E$13*Z146</f>
        <v>3109.0355327019897</v>
      </c>
      <c r="AB146" s="48">
        <v>18</v>
      </c>
      <c r="AC146" s="49">
        <v>29</v>
      </c>
      <c r="AD146" s="50">
        <v>6964</v>
      </c>
      <c r="AE146" s="45">
        <f>AB146*'Factors &amp; Percentages'!$E$16+AC146*'Factors &amp; Percentages'!$E$17+AD146*'Factors &amp; Percentages'!$E$18</f>
        <v>4683.3313399193694</v>
      </c>
      <c r="AF146" s="45">
        <f t="shared" si="34"/>
        <v>18025.273328051517</v>
      </c>
      <c r="AG146" s="51">
        <f t="shared" si="35"/>
        <v>11073.4</v>
      </c>
      <c r="AH146" s="26">
        <f>IF($AL146&gt;$AF146,$AL146*(1+'Factors &amp; Percentages'!$B$3),
IF($AF146&gt;$AG146,$AG146,
IF($AF146&gt;$BOJ146,$AF146,
$AL146*(1+'Factors &amp; Percentages'!$B$3))))</f>
        <v>11073.4</v>
      </c>
      <c r="AI146" s="26">
        <f>IF(+MIN(AH146,+X146*2*AK$1)-(AL146*(1+'Factors &amp; Percentages'!B$3))&gt;0,0,+MIN(AH146,+X146*2*AK$1)-(AL146*(1+'Factors &amp; Percentages'!B$3)))</f>
        <v>0</v>
      </c>
      <c r="AJ146" s="26">
        <f t="shared" si="30"/>
        <v>11073.4</v>
      </c>
      <c r="AK146" s="51"/>
      <c r="AL146" s="52">
        <v>6000</v>
      </c>
    </row>
    <row r="147" spans="1:38" x14ac:dyDescent="0.25">
      <c r="A147" s="53">
        <v>130174</v>
      </c>
      <c r="B147" s="54" t="s">
        <v>197</v>
      </c>
      <c r="C147" s="54" t="s">
        <v>197</v>
      </c>
      <c r="D147" s="55" t="s">
        <v>197</v>
      </c>
      <c r="E147" s="56" t="s">
        <v>357</v>
      </c>
      <c r="F147" s="56" t="s">
        <v>249</v>
      </c>
      <c r="G147" s="64">
        <f t="shared" si="31"/>
        <v>39257.598051813038</v>
      </c>
      <c r="H147" s="64">
        <v>35959.403486847979</v>
      </c>
      <c r="I147" s="57">
        <v>62526</v>
      </c>
      <c r="J147" s="58">
        <v>61126</v>
      </c>
      <c r="K147" s="58">
        <v>58569</v>
      </c>
      <c r="L147" s="57">
        <v>42685</v>
      </c>
      <c r="M147" s="58">
        <v>36168</v>
      </c>
      <c r="N147" s="58">
        <v>44947</v>
      </c>
      <c r="O147" s="57">
        <v>35049</v>
      </c>
      <c r="P147" s="58">
        <v>173099</v>
      </c>
      <c r="Q147" s="58">
        <v>39025</v>
      </c>
      <c r="R147" s="57">
        <v>948</v>
      </c>
      <c r="S147" s="58">
        <v>846</v>
      </c>
      <c r="T147" s="58">
        <v>1008</v>
      </c>
      <c r="U147" s="59">
        <f t="shared" si="32"/>
        <v>62620.800000000003</v>
      </c>
      <c r="V147" s="59">
        <f t="shared" si="33"/>
        <v>46189.9</v>
      </c>
      <c r="W147" s="59">
        <f>SUM(U147*'Factors &amp; Percentages'!$E$6+V147*'Factors &amp; Percentages'!$E$7)</f>
        <v>9192.1788033066896</v>
      </c>
      <c r="X147" s="60">
        <v>1</v>
      </c>
      <c r="Y147" s="59">
        <f>X147*'Factors &amp; Percentages'!$E$10</f>
        <v>14160.96928630961</v>
      </c>
      <c r="Z147" s="61">
        <v>3.7316217628181207E-2</v>
      </c>
      <c r="AA147" s="59">
        <f>+'Factors &amp; Percentages'!E$13*Z147</f>
        <v>6219.6489026770869</v>
      </c>
      <c r="AB147" s="62">
        <v>43</v>
      </c>
      <c r="AC147" s="85">
        <v>59</v>
      </c>
      <c r="AD147" s="63">
        <v>10984</v>
      </c>
      <c r="AE147" s="59">
        <f>AB147*'Factors &amp; Percentages'!$E$16+AC147*'Factors &amp; Percentages'!$E$17+AD147*'Factors &amp; Percentages'!$E$18</f>
        <v>9684.8010595196538</v>
      </c>
      <c r="AF147" s="59">
        <f t="shared" si="34"/>
        <v>39257.598051813038</v>
      </c>
      <c r="AG147" s="65">
        <f t="shared" si="35"/>
        <v>39257.598051813038</v>
      </c>
      <c r="AH147" s="64">
        <f>IF($AL147&gt;$AF147,$AL147*(1+'Factors &amp; Percentages'!$B$3),
IF($AF147&gt;$AG147,$AG147,
IF($AF147&gt;$BOJ147,$AF147,
$AL147*(1+'Factors &amp; Percentages'!$B$3))))</f>
        <v>39257.598051813038</v>
      </c>
      <c r="AI147" s="64">
        <f>IF(+MIN(AH147,+X147*2*AK$1)-(AL147*(1+'Factors &amp; Percentages'!B$3))&gt;0,0,+MIN(AH147,+X147*2*AK$1)-(AL147*(1+'Factors &amp; Percentages'!B$3)))</f>
        <v>0</v>
      </c>
      <c r="AJ147" s="64">
        <f t="shared" si="30"/>
        <v>39257.598051813038</v>
      </c>
      <c r="AK147" s="65"/>
      <c r="AL147" s="66">
        <v>34320</v>
      </c>
    </row>
    <row r="148" spans="1:38" x14ac:dyDescent="0.25">
      <c r="A148" s="39">
        <v>130087</v>
      </c>
      <c r="B148" s="40" t="s">
        <v>123</v>
      </c>
      <c r="C148" s="40" t="s">
        <v>123</v>
      </c>
      <c r="D148" s="41" t="s">
        <v>123</v>
      </c>
      <c r="E148" s="42" t="s">
        <v>357</v>
      </c>
      <c r="F148" s="42" t="s">
        <v>361</v>
      </c>
      <c r="G148" s="26">
        <f t="shared" si="31"/>
        <v>35369.188131773481</v>
      </c>
      <c r="H148" s="26">
        <v>35457.758583934665</v>
      </c>
      <c r="I148" s="43">
        <v>65076</v>
      </c>
      <c r="J148" s="44">
        <v>60819</v>
      </c>
      <c r="K148" s="44">
        <v>57921</v>
      </c>
      <c r="L148" s="43">
        <v>18664</v>
      </c>
      <c r="M148" s="44">
        <v>12593</v>
      </c>
      <c r="N148" s="44">
        <v>14303</v>
      </c>
      <c r="O148" s="43">
        <v>19294</v>
      </c>
      <c r="P148" s="44">
        <v>17637</v>
      </c>
      <c r="Q148" s="44">
        <v>15903</v>
      </c>
      <c r="R148" s="43">
        <v>3589</v>
      </c>
      <c r="S148" s="44">
        <v>4045</v>
      </c>
      <c r="T148" s="44">
        <v>14445</v>
      </c>
      <c r="U148" s="45">
        <f t="shared" si="32"/>
        <v>65434.9</v>
      </c>
      <c r="V148" s="45">
        <f t="shared" si="33"/>
        <v>20593.400000000001</v>
      </c>
      <c r="W148" s="45">
        <f>SUM(U148*'Factors &amp; Percentages'!$E$6+V148*'Factors &amp; Percentages'!$E$7)</f>
        <v>7663.8222925599293</v>
      </c>
      <c r="X148" s="46">
        <v>0.5</v>
      </c>
      <c r="Y148" s="45">
        <f>X148*'Factors &amp; Percentages'!$E$10</f>
        <v>7080.4846431548049</v>
      </c>
      <c r="Z148" s="47">
        <v>6.0078101531991591E-2</v>
      </c>
      <c r="AA148" s="45">
        <f>+'Factors &amp; Percentages'!E$13*Z148</f>
        <v>10013.46658419589</v>
      </c>
      <c r="AB148" s="48">
        <v>49</v>
      </c>
      <c r="AC148" s="49">
        <v>92</v>
      </c>
      <c r="AD148" s="50">
        <v>7729</v>
      </c>
      <c r="AE148" s="45">
        <f>AB148*'Factors &amp; Percentages'!$E$16+AC148*'Factors &amp; Percentages'!$E$17+AD148*'Factors &amp; Percentages'!$E$18</f>
        <v>10611.414611862852</v>
      </c>
      <c r="AF148" s="45">
        <f t="shared" si="34"/>
        <v>35369.188131773481</v>
      </c>
      <c r="AG148" s="51">
        <f t="shared" si="35"/>
        <v>35369.188131773481</v>
      </c>
      <c r="AH148" s="26">
        <f>IF($AL148&gt;$AF148,$AL148*(1+'Factors &amp; Percentages'!$B$3),
IF($AF148&gt;$AG148,$AG148,
IF($AF148&gt;$BOJ148,$AF148,
$AL148*(1+'Factors &amp; Percentages'!$B$3))))</f>
        <v>35369.188131773481</v>
      </c>
      <c r="AI148" s="26">
        <f>IF(+MIN(AH148,+X148*2*AK$1)-(AL148*(1+'Factors &amp; Percentages'!B$3))&gt;0,0,+MIN(AH148,+X148*2*AK$1)-(AL148*(1+'Factors &amp; Percentages'!B$3)))</f>
        <v>0</v>
      </c>
      <c r="AJ148" s="26">
        <f t="shared" si="30"/>
        <v>35369.188131773481</v>
      </c>
      <c r="AK148" s="51"/>
      <c r="AL148" s="52">
        <v>20000</v>
      </c>
    </row>
    <row r="149" spans="1:38" hidden="1" x14ac:dyDescent="0.25">
      <c r="A149" s="53">
        <v>130248</v>
      </c>
      <c r="B149" s="54" t="s">
        <v>70</v>
      </c>
      <c r="C149" s="54" t="s">
        <v>70</v>
      </c>
      <c r="D149" s="55" t="s">
        <v>70</v>
      </c>
      <c r="E149" s="56" t="s">
        <v>237</v>
      </c>
      <c r="F149" s="56" t="s">
        <v>360</v>
      </c>
      <c r="G149" s="64">
        <f t="shared" si="31"/>
        <v>21544.18604651163</v>
      </c>
      <c r="H149" s="64">
        <v>21544.18604651163</v>
      </c>
      <c r="I149" s="57">
        <v>39262</v>
      </c>
      <c r="J149" s="58">
        <v>35688</v>
      </c>
      <c r="K149" s="58">
        <v>26401</v>
      </c>
      <c r="L149" s="57">
        <v>52558</v>
      </c>
      <c r="M149" s="58">
        <v>45851</v>
      </c>
      <c r="N149" s="58">
        <v>20660</v>
      </c>
      <c r="O149" s="57">
        <v>158</v>
      </c>
      <c r="P149" s="58">
        <v>3502</v>
      </c>
      <c r="Q149" s="58">
        <v>3326</v>
      </c>
      <c r="R149" s="57">
        <v>0</v>
      </c>
      <c r="S149" s="58">
        <v>0</v>
      </c>
      <c r="T149" s="58">
        <v>1203</v>
      </c>
      <c r="U149" s="59">
        <f t="shared" si="32"/>
        <v>39262</v>
      </c>
      <c r="V149" s="59">
        <f t="shared" si="33"/>
        <v>52573.8</v>
      </c>
      <c r="W149" s="59">
        <f>SUM(U149*'Factors &amp; Percentages'!$E$6+V149*'Factors &amp; Percentages'!$E$7)</f>
        <v>7420.0122682900037</v>
      </c>
      <c r="X149" s="60">
        <v>0.1</v>
      </c>
      <c r="Y149" s="59">
        <f>X149*'Factors &amp; Percentages'!$E$10</f>
        <v>1416.096928630961</v>
      </c>
      <c r="Z149" s="61">
        <v>6.8017956740579519E-2</v>
      </c>
      <c r="AA149" s="59">
        <f>+'Factors &amp; Percentages'!E$13*Z149</f>
        <v>11336.835212484057</v>
      </c>
      <c r="AB149" s="62">
        <v>30</v>
      </c>
      <c r="AC149" s="85">
        <v>43</v>
      </c>
      <c r="AD149" s="63">
        <v>711</v>
      </c>
      <c r="AE149" s="59">
        <f>AB149*'Factors &amp; Percentages'!$E$16+AC149*'Factors &amp; Percentages'!$E$17+AD149*'Factors &amp; Percentages'!$E$18</f>
        <v>5274.9610047348087</v>
      </c>
      <c r="AF149" s="59">
        <f t="shared" si="34"/>
        <v>25447.90541413983</v>
      </c>
      <c r="AG149" s="65">
        <f t="shared" si="35"/>
        <v>25447.90541413983</v>
      </c>
      <c r="AH149" s="64">
        <f>IF($AL149&gt;$AF149,$AL149*(1+'Factors &amp; Percentages'!$B$3),
IF($AF149&gt;$AG149,$AG149,
IF($AF149&gt;$BOJ149,$AF149,
$AL149*(1+'Factors &amp; Percentages'!$B$3))))</f>
        <v>25447.90541413983</v>
      </c>
      <c r="AI149" s="64">
        <f>IF(+MIN(AH149,+X149*2*AK$1)-(AL149*(1+'Factors &amp; Percentages'!B$3))&gt;0,0,+MIN(AH149,+X149*2*AK$1)-(AL149*(1+'Factors &amp; Percentages'!B$3)))</f>
        <v>0</v>
      </c>
      <c r="AJ149" s="64">
        <f t="shared" si="30"/>
        <v>21544.18604651163</v>
      </c>
      <c r="AK149" s="65"/>
      <c r="AL149" s="66">
        <v>9000</v>
      </c>
    </row>
    <row r="150" spans="1:38" hidden="1" x14ac:dyDescent="0.25">
      <c r="A150" s="39">
        <v>130292</v>
      </c>
      <c r="B150" s="40" t="s">
        <v>169</v>
      </c>
      <c r="C150" s="40" t="s">
        <v>169</v>
      </c>
      <c r="D150" s="41" t="s">
        <v>169</v>
      </c>
      <c r="E150" s="42" t="s">
        <v>237</v>
      </c>
      <c r="F150" s="42" t="s">
        <v>237</v>
      </c>
      <c r="G150" s="26">
        <f t="shared" si="31"/>
        <v>15504.075634680084</v>
      </c>
      <c r="H150" s="26">
        <v>6494.8020722025776</v>
      </c>
      <c r="I150" s="43">
        <v>9476</v>
      </c>
      <c r="J150" s="44">
        <v>9452</v>
      </c>
      <c r="K150" s="44">
        <v>9526</v>
      </c>
      <c r="L150" s="43">
        <v>35013</v>
      </c>
      <c r="M150" s="44">
        <v>11284</v>
      </c>
      <c r="N150" s="44">
        <v>8626</v>
      </c>
      <c r="O150" s="43">
        <v>22396</v>
      </c>
      <c r="P150" s="44">
        <v>6253</v>
      </c>
      <c r="Q150" s="44">
        <v>7454</v>
      </c>
      <c r="R150" s="43">
        <v>8960</v>
      </c>
      <c r="S150" s="44">
        <v>644</v>
      </c>
      <c r="T150" s="44">
        <v>874</v>
      </c>
      <c r="U150" s="45">
        <f t="shared" si="32"/>
        <v>10372</v>
      </c>
      <c r="V150" s="45">
        <f t="shared" si="33"/>
        <v>37252.6</v>
      </c>
      <c r="W150" s="45">
        <f>SUM(U150*'Factors &amp; Percentages'!$E$6+V150*'Factors &amp; Percentages'!$E$7)</f>
        <v>3599.3556284327105</v>
      </c>
      <c r="X150" s="46">
        <v>0.25</v>
      </c>
      <c r="Y150" s="45">
        <f>X150*'Factors &amp; Percentages'!$E$10</f>
        <v>3540.2423215774024</v>
      </c>
      <c r="Z150" s="47">
        <v>3.9884017277756284E-2</v>
      </c>
      <c r="AA150" s="45">
        <f>+'Factors &amp; Percentages'!E$13*Z150</f>
        <v>6647.6347299628906</v>
      </c>
      <c r="AB150" s="48">
        <v>9</v>
      </c>
      <c r="AC150" s="49">
        <v>16</v>
      </c>
      <c r="AD150" s="50">
        <v>467</v>
      </c>
      <c r="AE150" s="45">
        <f>AB150*'Factors &amp; Percentages'!$E$16+AC150*'Factors &amp; Percentages'!$E$17+AD150*'Factors &amp; Percentages'!$E$18</f>
        <v>1716.84295470708</v>
      </c>
      <c r="AF150" s="45">
        <f t="shared" si="34"/>
        <v>15504.075634680084</v>
      </c>
      <c r="AG150" s="51">
        <f t="shared" si="35"/>
        <v>15504.075634680084</v>
      </c>
      <c r="AH150" s="26">
        <f>IF($AL150&gt;$AF150,$AL150*(1+'Factors &amp; Percentages'!$B$3),
IF($AF150&gt;$AG150,$AG150,
IF($AF150&gt;$BOJ150,$AF150,
$AL150*(1+'Factors &amp; Percentages'!$B$3))))</f>
        <v>15504.075634680084</v>
      </c>
      <c r="AI150" s="26">
        <f>IF(+MIN(AH150,+X150*2*AK$1)-(AL150*(1+'Factors &amp; Percentages'!B$3))&gt;0,0,+MIN(AH150,+X150*2*AK$1)-(AL150*(1+'Factors &amp; Percentages'!B$3)))</f>
        <v>0</v>
      </c>
      <c r="AJ150" s="26">
        <f t="shared" si="30"/>
        <v>15504.075634680084</v>
      </c>
      <c r="AK150" s="51"/>
      <c r="AL150" s="52">
        <v>1000</v>
      </c>
    </row>
    <row r="151" spans="1:38" x14ac:dyDescent="0.25">
      <c r="A151" s="53">
        <v>130052</v>
      </c>
      <c r="B151" s="54" t="s">
        <v>333</v>
      </c>
      <c r="C151" s="54" t="s">
        <v>333</v>
      </c>
      <c r="D151" s="55" t="s">
        <v>104</v>
      </c>
      <c r="E151" s="56" t="s">
        <v>357</v>
      </c>
      <c r="F151" s="56" t="s">
        <v>95</v>
      </c>
      <c r="G151" s="64">
        <f t="shared" si="31"/>
        <v>30137.220266246746</v>
      </c>
      <c r="H151" s="64">
        <v>32078.713043255895</v>
      </c>
      <c r="I151" s="57">
        <v>66977</v>
      </c>
      <c r="J151" s="58">
        <v>65250</v>
      </c>
      <c r="K151" s="58">
        <v>58774</v>
      </c>
      <c r="L151" s="57">
        <v>33211</v>
      </c>
      <c r="M151" s="58">
        <v>32420</v>
      </c>
      <c r="N151" s="58">
        <v>23634</v>
      </c>
      <c r="O151" s="57">
        <f>+P151</f>
        <v>37063</v>
      </c>
      <c r="P151" s="58">
        <v>37063</v>
      </c>
      <c r="Q151" s="58">
        <v>9169</v>
      </c>
      <c r="R151" s="57">
        <v>0</v>
      </c>
      <c r="S151" s="58">
        <v>0</v>
      </c>
      <c r="T151" s="58">
        <v>20279</v>
      </c>
      <c r="U151" s="59">
        <f t="shared" si="32"/>
        <v>66977</v>
      </c>
      <c r="V151" s="59">
        <f t="shared" si="33"/>
        <v>36917.300000000003</v>
      </c>
      <c r="W151" s="59">
        <f>SUM(U151*'Factors &amp; Percentages'!$E$6+V151*'Factors &amp; Percentages'!$E$7)</f>
        <v>8955.6460440199589</v>
      </c>
      <c r="X151" s="60">
        <v>0.8</v>
      </c>
      <c r="Y151" s="59">
        <f>X151*'Factors &amp; Percentages'!$E$10</f>
        <v>11328.775429047688</v>
      </c>
      <c r="Z151" s="61">
        <v>2.2657446596398373E-2</v>
      </c>
      <c r="AA151" s="59">
        <f>+'Factors &amp; Percentages'!E$13*Z151</f>
        <v>3776.4106819424815</v>
      </c>
      <c r="AB151" s="62">
        <v>15</v>
      </c>
      <c r="AC151" s="85">
        <v>69</v>
      </c>
      <c r="AD151" s="63">
        <v>10521</v>
      </c>
      <c r="AE151" s="59">
        <f>AB151*'Factors &amp; Percentages'!$E$16+AC151*'Factors &amp; Percentages'!$E$17+AD151*'Factors &amp; Percentages'!$E$18</f>
        <v>6076.3881112366198</v>
      </c>
      <c r="AF151" s="59">
        <f t="shared" si="34"/>
        <v>30137.220266246746</v>
      </c>
      <c r="AG151" s="65">
        <f t="shared" si="35"/>
        <v>30137.220266246746</v>
      </c>
      <c r="AH151" s="64">
        <f>IF($AL151&gt;$AF151,$AL151*(1+'Factors &amp; Percentages'!$B$3),
IF($AF151&gt;$AG151,$AG151,
IF($AF151&gt;$BOJ151,$AF151,
$AL151*(1+'Factors &amp; Percentages'!$B$3))))</f>
        <v>30137.220266246746</v>
      </c>
      <c r="AI151" s="64">
        <f>IF(+MIN(AH151,+X151*2*AK$1)-(AL151*(1+'Factors &amp; Percentages'!B$3))&gt;0,0,+MIN(AH151,+X151*2*AK$1)-(AL151*(1+'Factors &amp; Percentages'!B$3)))</f>
        <v>0</v>
      </c>
      <c r="AJ151" s="64">
        <f t="shared" si="30"/>
        <v>30137.220266246746</v>
      </c>
      <c r="AK151" s="65"/>
      <c r="AL151" s="66">
        <v>23940</v>
      </c>
    </row>
    <row r="152" spans="1:38" x14ac:dyDescent="0.25">
      <c r="A152" s="39">
        <v>130054</v>
      </c>
      <c r="B152" s="40" t="s">
        <v>434</v>
      </c>
      <c r="C152" s="40" t="s">
        <v>334</v>
      </c>
      <c r="D152" s="41" t="s">
        <v>103</v>
      </c>
      <c r="E152" s="42" t="s">
        <v>357</v>
      </c>
      <c r="F152" s="42" t="s">
        <v>95</v>
      </c>
      <c r="G152" s="26">
        <f t="shared" si="31"/>
        <v>27834.738487212984</v>
      </c>
      <c r="H152" s="26">
        <v>28456.176639252408</v>
      </c>
      <c r="I152" s="43">
        <v>16945</v>
      </c>
      <c r="J152" s="44">
        <v>9866</v>
      </c>
      <c r="K152" s="44">
        <v>13020</v>
      </c>
      <c r="L152" s="43">
        <v>18330</v>
      </c>
      <c r="M152" s="44">
        <v>29953</v>
      </c>
      <c r="N152" s="44">
        <v>36799</v>
      </c>
      <c r="O152" s="43">
        <v>0</v>
      </c>
      <c r="P152" s="44">
        <v>0</v>
      </c>
      <c r="Q152" s="44">
        <v>0</v>
      </c>
      <c r="R152" s="43">
        <v>0</v>
      </c>
      <c r="S152" s="44">
        <v>0</v>
      </c>
      <c r="T152" s="44">
        <v>0</v>
      </c>
      <c r="U152" s="45">
        <f t="shared" si="32"/>
        <v>16945</v>
      </c>
      <c r="V152" s="45">
        <f t="shared" si="33"/>
        <v>18330</v>
      </c>
      <c r="W152" s="45">
        <f>SUM(U152*'Factors &amp; Percentages'!$E$6+V152*'Factors &amp; Percentages'!$E$7)</f>
        <v>2896.4808634760902</v>
      </c>
      <c r="X152" s="46">
        <v>0.2</v>
      </c>
      <c r="Y152" s="45">
        <f>X152*'Factors &amp; Percentages'!$E$10</f>
        <v>2832.1938572619219</v>
      </c>
      <c r="Z152" s="47">
        <v>0.10868856378931809</v>
      </c>
      <c r="AA152" s="45">
        <f>+'Factors &amp; Percentages'!E$13*Z152</f>
        <v>18115.574124941915</v>
      </c>
      <c r="AB152" s="48">
        <v>15</v>
      </c>
      <c r="AC152" s="49">
        <v>56</v>
      </c>
      <c r="AD152" s="50">
        <v>2532</v>
      </c>
      <c r="AE152" s="45">
        <f>AB152*'Factors &amp; Percentages'!$E$16+AC152*'Factors &amp; Percentages'!$E$17+AD152*'Factors &amp; Percentages'!$E$18</f>
        <v>3990.4896415330568</v>
      </c>
      <c r="AF152" s="45">
        <f t="shared" si="34"/>
        <v>27834.738487212984</v>
      </c>
      <c r="AG152" s="51">
        <f t="shared" si="35"/>
        <v>27834.738487212984</v>
      </c>
      <c r="AH152" s="26">
        <f>IF($AL152&gt;$AF152,$AL152*(1+'Factors &amp; Percentages'!$B$3),
IF($AF152&gt;$AG152,$AG152,
IF($AF152&gt;$BOJ152,$AF152,
$AL152*(1+'Factors &amp; Percentages'!$B$3))))</f>
        <v>27834.738487212984</v>
      </c>
      <c r="AI152" s="26">
        <f>IF(+MIN(AH152,+X152*2*AK$1)-(AL152*(1+'Factors &amp; Percentages'!B$3))&gt;0,0,+MIN(AH152,+X152*2*AK$1)-(AL152*(1+'Factors &amp; Percentages'!B$3)))</f>
        <v>0</v>
      </c>
      <c r="AJ152" s="26">
        <f t="shared" si="30"/>
        <v>27834.738487212984</v>
      </c>
      <c r="AK152" s="51"/>
      <c r="AL152" s="52">
        <v>7135</v>
      </c>
    </row>
    <row r="153" spans="1:38" hidden="1" x14ac:dyDescent="0.25">
      <c r="A153" s="53">
        <v>130262</v>
      </c>
      <c r="B153" s="54" t="s">
        <v>137</v>
      </c>
      <c r="C153" s="54" t="s">
        <v>137</v>
      </c>
      <c r="D153" s="55" t="s">
        <v>137</v>
      </c>
      <c r="E153" s="56" t="s">
        <v>237</v>
      </c>
      <c r="F153" s="56" t="s">
        <v>126</v>
      </c>
      <c r="G153" s="64">
        <f t="shared" si="31"/>
        <v>29396.251875524908</v>
      </c>
      <c r="H153" s="64">
        <v>29634.064563696131</v>
      </c>
      <c r="I153" s="57">
        <v>41994</v>
      </c>
      <c r="J153" s="58">
        <v>40645</v>
      </c>
      <c r="K153" s="58">
        <v>34670</v>
      </c>
      <c r="L153" s="57">
        <v>54407</v>
      </c>
      <c r="M153" s="58">
        <v>92784</v>
      </c>
      <c r="N153" s="58">
        <v>16027</v>
      </c>
      <c r="O153" s="57">
        <v>16588</v>
      </c>
      <c r="P153" s="58">
        <v>15376</v>
      </c>
      <c r="Q153" s="58">
        <v>25277</v>
      </c>
      <c r="R153" s="57">
        <v>1863</v>
      </c>
      <c r="S153" s="58">
        <v>1041</v>
      </c>
      <c r="T153" s="58">
        <v>5796</v>
      </c>
      <c r="U153" s="59">
        <f t="shared" si="32"/>
        <v>42180.3</v>
      </c>
      <c r="V153" s="59">
        <f t="shared" si="33"/>
        <v>56065.8</v>
      </c>
      <c r="W153" s="59">
        <f>SUM(U153*'Factors &amp; Percentages'!$E$6+V153*'Factors &amp; Percentages'!$E$7)</f>
        <v>7942.364905414659</v>
      </c>
      <c r="X153" s="60">
        <v>0.5</v>
      </c>
      <c r="Y153" s="59">
        <f>X153*'Factors &amp; Percentages'!$E$10</f>
        <v>7080.4846431548049</v>
      </c>
      <c r="Z153" s="61">
        <v>4.5427289081096792E-2</v>
      </c>
      <c r="AA153" s="59">
        <f>+'Factors &amp; Percentages'!E$13*Z153</f>
        <v>7571.5548531763015</v>
      </c>
      <c r="AB153" s="62">
        <v>36</v>
      </c>
      <c r="AC153" s="85">
        <v>0</v>
      </c>
      <c r="AD153" s="63">
        <v>8949</v>
      </c>
      <c r="AE153" s="59">
        <f>AB153*'Factors &amp; Percentages'!$E$16+AC153*'Factors &amp; Percentages'!$E$17+AD153*'Factors &amp; Percentages'!$E$18</f>
        <v>6801.8474737791439</v>
      </c>
      <c r="AF153" s="59">
        <f t="shared" si="34"/>
        <v>29396.251875524908</v>
      </c>
      <c r="AG153" s="65">
        <f t="shared" si="35"/>
        <v>29396.251875524908</v>
      </c>
      <c r="AH153" s="64">
        <f>IF($AL153&gt;$AF153,$AL153*(1+'Factors &amp; Percentages'!$B$3),
IF($AF153&gt;$AG153,$AG153,
IF($AF153&gt;$BOJ153,$AF153,
$AL153*(1+'Factors &amp; Percentages'!$B$3))))</f>
        <v>29396.251875524908</v>
      </c>
      <c r="AI153" s="64">
        <f>IF(+MIN(AH153,+X153*2*AK$1)-(AL153*(1+'Factors &amp; Percentages'!B$3))&gt;0,0,+MIN(AH153,+X153*2*AK$1)-(AL153*(1+'Factors &amp; Percentages'!B$3)))</f>
        <v>0</v>
      </c>
      <c r="AJ153" s="64">
        <f t="shared" si="30"/>
        <v>29396.251875524908</v>
      </c>
      <c r="AK153" s="65"/>
      <c r="AL153" s="66">
        <v>20350</v>
      </c>
    </row>
    <row r="154" spans="1:38" hidden="1" x14ac:dyDescent="0.25">
      <c r="A154" s="39" t="s">
        <v>232</v>
      </c>
      <c r="B154" s="40"/>
      <c r="C154" s="40"/>
      <c r="D154" s="41" t="s">
        <v>89</v>
      </c>
      <c r="E154" s="42" t="s">
        <v>356</v>
      </c>
      <c r="F154" s="42" t="s">
        <v>356</v>
      </c>
      <c r="G154" s="26">
        <f t="shared" si="31"/>
        <v>15969.773735354802</v>
      </c>
      <c r="H154" s="26">
        <v>15306.970144701885</v>
      </c>
      <c r="I154" s="43">
        <v>11234</v>
      </c>
      <c r="J154" s="44">
        <v>14826</v>
      </c>
      <c r="K154" s="44">
        <v>13897</v>
      </c>
      <c r="L154" s="43">
        <v>24687</v>
      </c>
      <c r="M154" s="44">
        <v>24044</v>
      </c>
      <c r="N154" s="44">
        <v>24686</v>
      </c>
      <c r="O154" s="43">
        <v>1426</v>
      </c>
      <c r="P154" s="44">
        <v>1395</v>
      </c>
      <c r="Q154" s="44">
        <v>1384</v>
      </c>
      <c r="R154" s="43">
        <v>31</v>
      </c>
      <c r="S154" s="44">
        <v>11</v>
      </c>
      <c r="T154" s="44">
        <v>234</v>
      </c>
      <c r="U154" s="45">
        <f t="shared" si="32"/>
        <v>11237.1</v>
      </c>
      <c r="V154" s="45">
        <f t="shared" si="33"/>
        <v>24829.599999999999</v>
      </c>
      <c r="W154" s="45">
        <f>SUM(U154*'Factors &amp; Percentages'!$E$6+V154*'Factors &amp; Percentages'!$E$7)</f>
        <v>2809.9967046779261</v>
      </c>
      <c r="X154" s="46">
        <v>0.25</v>
      </c>
      <c r="Y154" s="45">
        <f>X154*'Factors &amp; Percentages'!$E$10</f>
        <v>3540.2423215774024</v>
      </c>
      <c r="Z154" s="47">
        <f>+Z155</f>
        <v>3.551199417603295E-2</v>
      </c>
      <c r="AA154" s="45">
        <f>+'Factors &amp; Percentages'!E$13*Z154</f>
        <v>5918.9314900456529</v>
      </c>
      <c r="AB154" s="48">
        <v>15</v>
      </c>
      <c r="AC154" s="49">
        <v>44</v>
      </c>
      <c r="AD154" s="50">
        <v>2597</v>
      </c>
      <c r="AE154" s="45">
        <f>AB154*'Factors &amp; Percentages'!$E$16+AC154*'Factors &amp; Percentages'!$E$17+AD154*'Factors &amp; Percentages'!$E$18</f>
        <v>3700.6032190538194</v>
      </c>
      <c r="AF154" s="45">
        <f t="shared" si="34"/>
        <v>15969.773735354802</v>
      </c>
      <c r="AG154" s="51">
        <f t="shared" si="35"/>
        <v>15969.773735354802</v>
      </c>
      <c r="AH154" s="26">
        <f>IF($AL154&gt;$AF154,$AL154*(1+'Factors &amp; Percentages'!$B$3),
IF($AF154&gt;$AG154,$AG154,
IF($AF154&gt;$BOJ154,$AF154,
$AL154*(1+'Factors &amp; Percentages'!$B$3))))</f>
        <v>15969.773735354802</v>
      </c>
      <c r="AI154" s="26">
        <f>IF(+MIN(AH154,+X154*2*AK$1)-(AL154*(1+'Factors &amp; Percentages'!B$3))&gt;0,0,+MIN(AH154,+X154*2*AK$1)-(AL154*(1+'Factors &amp; Percentages'!B$3)))</f>
        <v>0</v>
      </c>
      <c r="AJ154" s="26">
        <f t="shared" si="30"/>
        <v>15969.773735354802</v>
      </c>
      <c r="AK154" s="51"/>
      <c r="AL154" s="52">
        <v>1200</v>
      </c>
    </row>
    <row r="155" spans="1:38" hidden="1" x14ac:dyDescent="0.25">
      <c r="A155" s="53">
        <v>130029</v>
      </c>
      <c r="B155" s="54" t="s">
        <v>335</v>
      </c>
      <c r="C155" s="54" t="s">
        <v>335</v>
      </c>
      <c r="D155" s="55" t="s">
        <v>90</v>
      </c>
      <c r="E155" s="56" t="s">
        <v>356</v>
      </c>
      <c r="F155" s="56" t="s">
        <v>356</v>
      </c>
      <c r="G155" s="64">
        <f t="shared" si="31"/>
        <v>16714.549449603095</v>
      </c>
      <c r="H155" s="64">
        <v>16854.024760210388</v>
      </c>
      <c r="I155" s="57">
        <v>30721</v>
      </c>
      <c r="J155" s="58">
        <v>32869</v>
      </c>
      <c r="K155" s="58">
        <v>25040</v>
      </c>
      <c r="L155" s="57">
        <v>31094</v>
      </c>
      <c r="M155" s="58">
        <v>26151</v>
      </c>
      <c r="N155" s="58">
        <v>37545</v>
      </c>
      <c r="O155" s="57">
        <v>14515</v>
      </c>
      <c r="P155" s="58">
        <v>14515</v>
      </c>
      <c r="Q155" s="58">
        <v>6314</v>
      </c>
      <c r="R155" s="57">
        <v>151</v>
      </c>
      <c r="S155" s="58">
        <v>151</v>
      </c>
      <c r="T155" s="58">
        <v>56</v>
      </c>
      <c r="U155" s="59">
        <f t="shared" si="32"/>
        <v>30736.1</v>
      </c>
      <c r="V155" s="59">
        <f t="shared" si="33"/>
        <v>32545.5</v>
      </c>
      <c r="W155" s="59">
        <f>SUM(U155*'Factors &amp; Percentages'!$E$6+V155*'Factors &amp; Percentages'!$E$7)</f>
        <v>5204.5436791809061</v>
      </c>
      <c r="X155" s="60">
        <v>0.25</v>
      </c>
      <c r="Y155" s="59">
        <f>X155*'Factors &amp; Percentages'!$E$10</f>
        <v>3540.2423215774024</v>
      </c>
      <c r="Z155" s="61">
        <v>3.551199417603295E-2</v>
      </c>
      <c r="AA155" s="59">
        <f>+'Factors &amp; Percentages'!E$13*Z155</f>
        <v>5918.9314900456529</v>
      </c>
      <c r="AB155" s="62">
        <v>8</v>
      </c>
      <c r="AC155" s="85">
        <v>16</v>
      </c>
      <c r="AD155" s="63">
        <v>2597</v>
      </c>
      <c r="AE155" s="59">
        <f>AB155*'Factors &amp; Percentages'!$E$16+AC155*'Factors &amp; Percentages'!$E$17+AD155*'Factors &amp; Percentages'!$E$18</f>
        <v>2050.8319587991373</v>
      </c>
      <c r="AF155" s="59">
        <f t="shared" si="34"/>
        <v>16714.549449603095</v>
      </c>
      <c r="AG155" s="65">
        <f t="shared" si="35"/>
        <v>16714.549449603095</v>
      </c>
      <c r="AH155" s="64">
        <f>IF($AL155&gt;$AF155,$AL155*(1+'Factors &amp; Percentages'!$B$3),
IF($AF155&gt;$AG155,$AG155,
IF($AF155&gt;$BOJ155,$AF155,
$AL155*(1+'Factors &amp; Percentages'!$B$3))))</f>
        <v>16714.549449603095</v>
      </c>
      <c r="AI155" s="64">
        <f>IF(+MIN(AH155,+X155*2*AK$1)-(AL155*(1+'Factors &amp; Percentages'!B$3))&gt;0,0,+MIN(AH155,+X155*2*AK$1)-(AL155*(1+'Factors &amp; Percentages'!B$3)))</f>
        <v>0</v>
      </c>
      <c r="AJ155" s="64">
        <f t="shared" si="30"/>
        <v>16714.549449603095</v>
      </c>
      <c r="AK155" s="65"/>
      <c r="AL155" s="66">
        <v>12000</v>
      </c>
    </row>
    <row r="156" spans="1:38" hidden="1" x14ac:dyDescent="0.25">
      <c r="A156" s="39">
        <v>130199</v>
      </c>
      <c r="B156" s="40" t="s">
        <v>19</v>
      </c>
      <c r="C156" s="40" t="s">
        <v>19</v>
      </c>
      <c r="D156" s="41" t="s">
        <v>19</v>
      </c>
      <c r="E156" s="42" t="s">
        <v>237</v>
      </c>
      <c r="F156" s="42" t="s">
        <v>237</v>
      </c>
      <c r="G156" s="26">
        <f t="shared" si="31"/>
        <v>33926.554765423549</v>
      </c>
      <c r="H156" s="26">
        <v>28350</v>
      </c>
      <c r="I156" s="43">
        <v>64498</v>
      </c>
      <c r="J156" s="44">
        <v>56673</v>
      </c>
      <c r="K156" s="44">
        <v>65218</v>
      </c>
      <c r="L156" s="43">
        <v>73446</v>
      </c>
      <c r="M156" s="44">
        <v>14436</v>
      </c>
      <c r="N156" s="44">
        <v>34059</v>
      </c>
      <c r="O156" s="43">
        <v>10484</v>
      </c>
      <c r="P156" s="44">
        <v>5461</v>
      </c>
      <c r="Q156" s="44">
        <v>3023</v>
      </c>
      <c r="R156" s="43">
        <v>951</v>
      </c>
      <c r="S156" s="44">
        <v>985</v>
      </c>
      <c r="T156" s="44">
        <v>3960</v>
      </c>
      <c r="U156" s="45">
        <f t="shared" si="32"/>
        <v>64593.1</v>
      </c>
      <c r="V156" s="45">
        <f t="shared" si="33"/>
        <v>74494.399999999994</v>
      </c>
      <c r="W156" s="45">
        <f>SUM(U156*'Factors &amp; Percentages'!$E$6+V156*'Factors &amp; Percentages'!$E$7)</f>
        <v>11365.430389918263</v>
      </c>
      <c r="X156" s="46">
        <v>0.75</v>
      </c>
      <c r="Y156" s="45">
        <f>X156*'Factors &amp; Percentages'!$E$10</f>
        <v>10620.726964732206</v>
      </c>
      <c r="Z156" s="47">
        <v>2.2102720181772773E-2</v>
      </c>
      <c r="AA156" s="45">
        <f>+'Factors &amp; Percentages'!E$13*Z156</f>
        <v>3683.952127584429</v>
      </c>
      <c r="AB156" s="48">
        <v>35</v>
      </c>
      <c r="AC156" s="49">
        <v>51</v>
      </c>
      <c r="AD156" s="50">
        <v>10296</v>
      </c>
      <c r="AE156" s="45">
        <f>AB156*'Factors &amp; Percentages'!$E$16+AC156*'Factors &amp; Percentages'!$E$17+AD156*'Factors &amp; Percentages'!$E$18</f>
        <v>8256.4452831886538</v>
      </c>
      <c r="AF156" s="45">
        <f t="shared" si="34"/>
        <v>33926.554765423549</v>
      </c>
      <c r="AG156" s="51">
        <f t="shared" si="35"/>
        <v>33926.554765423549</v>
      </c>
      <c r="AH156" s="26">
        <f>IF($AL156&gt;$AF156,$AL156*(1+'Factors &amp; Percentages'!$B$3),
IF($AF156&gt;$AG156,$AG156,
IF($AF156&gt;$BOJ156,$AF156,
$AL156*(1+'Factors &amp; Percentages'!$B$3))))</f>
        <v>33926.554765423549</v>
      </c>
      <c r="AI156" s="26">
        <f>IF(+MIN(AH156,+X156*2*AK$1)-(AL156*(1+'Factors &amp; Percentages'!B$3))&gt;0,0,+MIN(AH156,+X156*2*AK$1)-(AL156*(1+'Factors &amp; Percentages'!B$3)))</f>
        <v>0</v>
      </c>
      <c r="AJ156" s="26">
        <f t="shared" si="30"/>
        <v>33926.554765423549</v>
      </c>
      <c r="AK156" s="51"/>
      <c r="AL156" s="52">
        <v>28350</v>
      </c>
    </row>
    <row r="157" spans="1:38" hidden="1" x14ac:dyDescent="0.25">
      <c r="A157" s="53">
        <v>130033</v>
      </c>
      <c r="B157" s="54" t="s">
        <v>91</v>
      </c>
      <c r="C157" s="54" t="s">
        <v>91</v>
      </c>
      <c r="D157" s="55" t="s">
        <v>91</v>
      </c>
      <c r="E157" s="56" t="s">
        <v>356</v>
      </c>
      <c r="F157" s="56" t="s">
        <v>356</v>
      </c>
      <c r="G157" s="64">
        <f t="shared" si="31"/>
        <v>33517.9</v>
      </c>
      <c r="H157" s="64">
        <v>32551.350000000002</v>
      </c>
      <c r="I157" s="57">
        <v>51566</v>
      </c>
      <c r="J157" s="58">
        <v>50079</v>
      </c>
      <c r="K157" s="58">
        <v>50057</v>
      </c>
      <c r="L157" s="57">
        <v>37227</v>
      </c>
      <c r="M157" s="58">
        <v>46372</v>
      </c>
      <c r="N157" s="58">
        <v>44198</v>
      </c>
      <c r="O157" s="57">
        <v>6916</v>
      </c>
      <c r="P157" s="58">
        <v>9252</v>
      </c>
      <c r="Q157" s="58">
        <v>3798</v>
      </c>
      <c r="R157" s="57">
        <v>1558</v>
      </c>
      <c r="S157" s="58">
        <v>4616</v>
      </c>
      <c r="T157" s="58">
        <v>4604</v>
      </c>
      <c r="U157" s="59">
        <f t="shared" si="32"/>
        <v>51721.8</v>
      </c>
      <c r="V157" s="59">
        <f t="shared" si="33"/>
        <v>37918.6</v>
      </c>
      <c r="W157" s="59">
        <f>SUM(U157*'Factors &amp; Percentages'!$E$6+V157*'Factors &amp; Percentages'!$E$7)</f>
        <v>7576.0212420049384</v>
      </c>
      <c r="X157" s="60">
        <v>0.25</v>
      </c>
      <c r="Y157" s="59">
        <f>X157*'Factors &amp; Percentages'!$E$10</f>
        <v>3540.2423215774024</v>
      </c>
      <c r="Z157" s="61">
        <v>0.1863932898415657</v>
      </c>
      <c r="AA157" s="59">
        <f>+'Factors &amp; Percentages'!E$13*Z157</f>
        <v>31066.94339122844</v>
      </c>
      <c r="AB157" s="62">
        <v>30</v>
      </c>
      <c r="AC157" s="85">
        <v>0</v>
      </c>
      <c r="AD157" s="63">
        <v>2272</v>
      </c>
      <c r="AE157" s="59">
        <f>AB157*'Factors &amp; Percentages'!$E$16+AC157*'Factors &amp; Percentages'!$E$17+AD157*'Factors &amp; Percentages'!$E$18</f>
        <v>4528.179141751235</v>
      </c>
      <c r="AF157" s="59">
        <f t="shared" si="34"/>
        <v>46711.386096562019</v>
      </c>
      <c r="AG157" s="65">
        <f t="shared" si="35"/>
        <v>33517.9</v>
      </c>
      <c r="AH157" s="64">
        <f>IF($AL157&gt;$AF157,$AL157*(1+'Factors &amp; Percentages'!$B$3),
IF($AF157&gt;$AG157,$AG157,
IF($AF157&gt;$BOJ157,$AF157,
$AL157*(1+'Factors &amp; Percentages'!$B$3))))</f>
        <v>33517.9</v>
      </c>
      <c r="AI157" s="64">
        <f>IF(+MIN(AH157,+X157*2*AK$1)-(AL157*(1+'Factors &amp; Percentages'!B$3))&gt;0,0,+MIN(AH157,+X157*2*AK$1)-(AL157*(1+'Factors &amp; Percentages'!B$3)))</f>
        <v>0</v>
      </c>
      <c r="AJ157" s="64">
        <f t="shared" si="30"/>
        <v>33517.9</v>
      </c>
      <c r="AK157" s="65"/>
      <c r="AL157" s="66">
        <v>30000</v>
      </c>
    </row>
    <row r="158" spans="1:38" x14ac:dyDescent="0.25">
      <c r="A158" s="39">
        <v>130055</v>
      </c>
      <c r="B158" s="40" t="s">
        <v>336</v>
      </c>
      <c r="C158" s="40" t="s">
        <v>336</v>
      </c>
      <c r="D158" s="41" t="s">
        <v>206</v>
      </c>
      <c r="E158" s="42" t="s">
        <v>357</v>
      </c>
      <c r="F158" s="42" t="s">
        <v>95</v>
      </c>
      <c r="G158" s="26">
        <f t="shared" si="31"/>
        <v>18716.951123279228</v>
      </c>
      <c r="H158" s="26">
        <v>14638.021229895916</v>
      </c>
      <c r="I158" s="43">
        <v>30569</v>
      </c>
      <c r="J158" s="44">
        <v>30569</v>
      </c>
      <c r="K158" s="44">
        <v>30569</v>
      </c>
      <c r="L158" s="43">
        <v>34713</v>
      </c>
      <c r="M158" s="44">
        <v>34713</v>
      </c>
      <c r="N158" s="44">
        <v>34713</v>
      </c>
      <c r="O158" s="43">
        <v>195</v>
      </c>
      <c r="P158" s="44">
        <v>195</v>
      </c>
      <c r="Q158" s="44">
        <v>195</v>
      </c>
      <c r="R158" s="43">
        <v>46</v>
      </c>
      <c r="S158" s="44">
        <v>46</v>
      </c>
      <c r="T158" s="44">
        <v>46</v>
      </c>
      <c r="U158" s="45">
        <f t="shared" si="32"/>
        <v>30573.599999999999</v>
      </c>
      <c r="V158" s="45">
        <f t="shared" si="33"/>
        <v>34732.5</v>
      </c>
      <c r="W158" s="45">
        <f>SUM(U158*'Factors &amp; Percentages'!$E$6+V158*'Factors &amp; Percentages'!$E$7)</f>
        <v>5342.5361259269084</v>
      </c>
      <c r="X158" s="46">
        <v>0.3</v>
      </c>
      <c r="Y158" s="45">
        <f>X158*'Factors &amp; Percentages'!$E$10</f>
        <v>4248.2907858928829</v>
      </c>
      <c r="Z158" s="47">
        <v>2.6004555998210888E-2</v>
      </c>
      <c r="AA158" s="45">
        <f>+'Factors &amp; Percentages'!E$13*Z158</f>
        <v>4334.2873007775515</v>
      </c>
      <c r="AB158" s="48">
        <v>18</v>
      </c>
      <c r="AC158" s="49">
        <v>51</v>
      </c>
      <c r="AD158" s="50">
        <v>4921</v>
      </c>
      <c r="AE158" s="45">
        <f>AB158*'Factors &amp; Percentages'!$E$16+AC158*'Factors &amp; Percentages'!$E$17+AD158*'Factors &amp; Percentages'!$E$18</f>
        <v>4791.8369106818873</v>
      </c>
      <c r="AF158" s="45">
        <f t="shared" si="34"/>
        <v>18716.951123279228</v>
      </c>
      <c r="AG158" s="51">
        <f t="shared" si="35"/>
        <v>18716.951123279228</v>
      </c>
      <c r="AH158" s="26">
        <f>IF($AL158&gt;$AF158,$AL158*(1+'Factors &amp; Percentages'!$B$3),
IF($AF158&gt;$AG158,$AG158,
IF($AF158&gt;$BOJ158,$AF158,
$AL158*(1+'Factors &amp; Percentages'!$B$3))))</f>
        <v>18716.951123279228</v>
      </c>
      <c r="AI158" s="26">
        <f>IF(+MIN(AH158,+X158*2*AK$1)-(AL158*(1+'Factors &amp; Percentages'!B$3))&gt;0,0,+MIN(AH158,+X158*2*AK$1)-(AL158*(1+'Factors &amp; Percentages'!B$3)))</f>
        <v>0</v>
      </c>
      <c r="AJ158" s="26">
        <f t="shared" si="30"/>
        <v>18716.951123279228</v>
      </c>
      <c r="AK158" s="51"/>
      <c r="AL158" s="52">
        <v>10800</v>
      </c>
    </row>
    <row r="159" spans="1:38" hidden="1" x14ac:dyDescent="0.25">
      <c r="A159" s="53">
        <v>130337</v>
      </c>
      <c r="B159" s="54" t="s">
        <v>337</v>
      </c>
      <c r="C159" s="54" t="s">
        <v>337</v>
      </c>
      <c r="D159" s="55" t="s">
        <v>71</v>
      </c>
      <c r="E159" s="56" t="s">
        <v>237</v>
      </c>
      <c r="F159" s="56" t="s">
        <v>360</v>
      </c>
      <c r="G159" s="64">
        <f t="shared" si="31"/>
        <v>21544.18604651163</v>
      </c>
      <c r="H159" s="64">
        <v>21544.18604651163</v>
      </c>
      <c r="I159" s="57">
        <v>2036</v>
      </c>
      <c r="J159" s="58">
        <v>10513</v>
      </c>
      <c r="K159" s="58">
        <v>7725</v>
      </c>
      <c r="L159" s="57">
        <v>223970</v>
      </c>
      <c r="M159" s="58">
        <v>246471</v>
      </c>
      <c r="N159" s="58">
        <v>195646</v>
      </c>
      <c r="O159" s="57">
        <v>0</v>
      </c>
      <c r="P159" s="58">
        <v>0</v>
      </c>
      <c r="Q159" s="58">
        <v>0</v>
      </c>
      <c r="R159" s="57">
        <v>0</v>
      </c>
      <c r="S159" s="58">
        <v>0</v>
      </c>
      <c r="T159" s="58">
        <v>0</v>
      </c>
      <c r="U159" s="59">
        <f t="shared" si="32"/>
        <v>2036</v>
      </c>
      <c r="V159" s="59">
        <f t="shared" si="33"/>
        <v>223970</v>
      </c>
      <c r="W159" s="59">
        <f>SUM(U159*'Factors &amp; Percentages'!$E$6+V159*'Factors &amp; Percentages'!$E$7)</f>
        <v>15906.905812564066</v>
      </c>
      <c r="X159" s="60">
        <v>0.1</v>
      </c>
      <c r="Y159" s="59">
        <f>X159*'Factors &amp; Percentages'!$E$10</f>
        <v>1416.096928630961</v>
      </c>
      <c r="Z159" s="61">
        <v>6.1446952845608388E-2</v>
      </c>
      <c r="AA159" s="59">
        <f>+'Factors &amp; Percentages'!E$13*Z159</f>
        <v>10241.618715140565</v>
      </c>
      <c r="AB159" s="62">
        <v>9</v>
      </c>
      <c r="AC159" s="85">
        <v>17</v>
      </c>
      <c r="AD159" s="63">
        <v>150</v>
      </c>
      <c r="AE159" s="59">
        <f>AB159*'Factors &amp; Percentages'!$E$16+AC159*'Factors &amp; Percentages'!$E$17+AD159*'Factors &amp; Percentages'!$E$18</f>
        <v>1672.4988665079954</v>
      </c>
      <c r="AF159" s="59">
        <f t="shared" si="34"/>
        <v>29237.120322843588</v>
      </c>
      <c r="AG159" s="65">
        <f t="shared" si="35"/>
        <v>29237.120322843588</v>
      </c>
      <c r="AH159" s="64">
        <f>IF($AL159&gt;$AF159,$AL159*(1+'Factors &amp; Percentages'!$B$3),
IF($AF159&gt;$AG159,$AG159,
IF($AF159&gt;$BOJ159,$AF159,
$AL159*(1+'Factors &amp; Percentages'!$B$3))))</f>
        <v>29237.120322843588</v>
      </c>
      <c r="AI159" s="64">
        <f>IF(+MIN(AH159,+X159*2*AK$1)-(AL159*(1+'Factors &amp; Percentages'!B$3))&gt;0,0,+MIN(AH159,+X159*2*AK$1)-(AL159*(1+'Factors &amp; Percentages'!B$3)))</f>
        <v>0</v>
      </c>
      <c r="AJ159" s="64">
        <f t="shared" si="30"/>
        <v>21544.18604651163</v>
      </c>
      <c r="AK159" s="65"/>
      <c r="AL159" s="66">
        <v>10000</v>
      </c>
    </row>
    <row r="160" spans="1:38" x14ac:dyDescent="0.25">
      <c r="A160" s="39">
        <v>130056</v>
      </c>
      <c r="B160" s="40" t="s">
        <v>435</v>
      </c>
      <c r="C160" s="40" t="s">
        <v>105</v>
      </c>
      <c r="D160" s="41" t="s">
        <v>105</v>
      </c>
      <c r="E160" s="42" t="s">
        <v>357</v>
      </c>
      <c r="F160" s="42" t="s">
        <v>95</v>
      </c>
      <c r="G160" s="26">
        <f t="shared" si="31"/>
        <v>18416.565982488555</v>
      </c>
      <c r="H160" s="26">
        <v>15658.359190368501</v>
      </c>
      <c r="I160" s="43">
        <v>20275</v>
      </c>
      <c r="J160" s="44">
        <v>13909</v>
      </c>
      <c r="K160" s="44">
        <v>26328</v>
      </c>
      <c r="L160" s="43">
        <v>21289</v>
      </c>
      <c r="M160" s="44">
        <v>25826</v>
      </c>
      <c r="N160" s="44">
        <v>25826</v>
      </c>
      <c r="O160" s="43">
        <v>16763</v>
      </c>
      <c r="P160" s="44">
        <v>4093</v>
      </c>
      <c r="Q160" s="44">
        <v>4093</v>
      </c>
      <c r="R160" s="43">
        <v>678</v>
      </c>
      <c r="S160" s="44">
        <v>23385</v>
      </c>
      <c r="T160" s="44">
        <v>7187</v>
      </c>
      <c r="U160" s="45">
        <f t="shared" si="32"/>
        <v>20342.8</v>
      </c>
      <c r="V160" s="45">
        <f t="shared" si="33"/>
        <v>22965.3</v>
      </c>
      <c r="W160" s="45">
        <f>SUM(U160*'Factors &amp; Percentages'!$E$6+V160*'Factors &amp; Percentages'!$E$7)</f>
        <v>3544.6180443972289</v>
      </c>
      <c r="X160" s="46">
        <v>0.4</v>
      </c>
      <c r="Y160" s="45">
        <f>X160*'Factors &amp; Percentages'!$E$10</f>
        <v>5664.3877145238439</v>
      </c>
      <c r="Z160" s="47">
        <v>3.066609832164444E-2</v>
      </c>
      <c r="AA160" s="45">
        <f>+'Factors &amp; Percentages'!E$13*Z160</f>
        <v>5111.245911256623</v>
      </c>
      <c r="AB160" s="48">
        <v>19</v>
      </c>
      <c r="AC160" s="49">
        <v>36</v>
      </c>
      <c r="AD160" s="50">
        <v>2876</v>
      </c>
      <c r="AE160" s="45">
        <f>AB160*'Factors &amp; Percentages'!$E$16+AC160*'Factors &amp; Percentages'!$E$17+AD160*'Factors &amp; Percentages'!$E$18</f>
        <v>4096.3143123108575</v>
      </c>
      <c r="AF160" s="45">
        <f t="shared" si="34"/>
        <v>18416.565982488555</v>
      </c>
      <c r="AG160" s="51">
        <f t="shared" si="35"/>
        <v>18416.565982488555</v>
      </c>
      <c r="AH160" s="26">
        <f>IF($AL160&gt;$AF160,$AL160*(1+'Factors &amp; Percentages'!$B$3),
IF($AF160&gt;$AG160,$AG160,
IF($AF160&gt;$BOJ160,$AF160,
$AL160*(1+'Factors &amp; Percentages'!$B$3))))</f>
        <v>18416.565982488555</v>
      </c>
      <c r="AI160" s="26">
        <f>IF(+MIN(AH160,+X160*2*AK$1)-(AL160*(1+'Factors &amp; Percentages'!B$3))&gt;0,0,+MIN(AH160,+X160*2*AK$1)-(AL160*(1+'Factors &amp; Percentages'!B$3)))</f>
        <v>0</v>
      </c>
      <c r="AJ160" s="26">
        <f t="shared" si="30"/>
        <v>18416.565982488555</v>
      </c>
      <c r="AK160" s="51"/>
      <c r="AL160" s="52">
        <v>10000</v>
      </c>
    </row>
    <row r="161" spans="1:38" x14ac:dyDescent="0.25">
      <c r="A161" s="53">
        <v>130122</v>
      </c>
      <c r="B161" s="54" t="s">
        <v>436</v>
      </c>
      <c r="C161" s="54" t="s">
        <v>338</v>
      </c>
      <c r="D161" s="55" t="s">
        <v>151</v>
      </c>
      <c r="E161" s="56" t="s">
        <v>357</v>
      </c>
      <c r="F161" s="56" t="s">
        <v>362</v>
      </c>
      <c r="G161" s="64">
        <f t="shared" si="31"/>
        <v>17953</v>
      </c>
      <c r="H161" s="64">
        <v>18473.650000000001</v>
      </c>
      <c r="I161" s="57">
        <v>27620</v>
      </c>
      <c r="J161" s="58">
        <v>28421</v>
      </c>
      <c r="K161" s="58">
        <v>31252</v>
      </c>
      <c r="L161" s="57">
        <v>3313</v>
      </c>
      <c r="M161" s="58">
        <v>4891</v>
      </c>
      <c r="N161" s="58">
        <v>6575</v>
      </c>
      <c r="O161" s="57">
        <v>32710</v>
      </c>
      <c r="P161" s="58">
        <v>31537</v>
      </c>
      <c r="Q161" s="58">
        <v>30459</v>
      </c>
      <c r="R161" s="57">
        <v>2083</v>
      </c>
      <c r="S161" s="58">
        <v>1389</v>
      </c>
      <c r="T161" s="58">
        <v>1503</v>
      </c>
      <c r="U161" s="59">
        <f t="shared" si="32"/>
        <v>27828.3</v>
      </c>
      <c r="V161" s="59">
        <f t="shared" si="33"/>
        <v>6584</v>
      </c>
      <c r="W161" s="59">
        <f>SUM(U161*'Factors &amp; Percentages'!$E$6+V161*'Factors &amp; Percentages'!$E$7)</f>
        <v>3106.7623178216063</v>
      </c>
      <c r="X161" s="60">
        <v>1</v>
      </c>
      <c r="Y161" s="59">
        <f>X161*'Factors &amp; Percentages'!$E$10</f>
        <v>14160.96928630961</v>
      </c>
      <c r="Z161" s="61">
        <v>2.3731041863930952E-2</v>
      </c>
      <c r="AA161" s="59">
        <f>+'Factors &amp; Percentages'!E$13*Z161</f>
        <v>3955.3512619916651</v>
      </c>
      <c r="AB161" s="62">
        <v>30</v>
      </c>
      <c r="AC161" s="85">
        <v>43</v>
      </c>
      <c r="AD161" s="63">
        <v>20698</v>
      </c>
      <c r="AE161" s="59">
        <f>AB161*'Factors &amp; Percentages'!$E$16+AC161*'Factors &amp; Percentages'!$E$17+AD161*'Factors &amp; Percentages'!$E$18</f>
        <v>9669.083341218824</v>
      </c>
      <c r="AF161" s="59">
        <f t="shared" si="34"/>
        <v>30892.166207341703</v>
      </c>
      <c r="AG161" s="65">
        <f t="shared" si="35"/>
        <v>17953</v>
      </c>
      <c r="AH161" s="64">
        <f>IF($AL161&gt;$AF161,$AL161*(1+'Factors &amp; Percentages'!$B$3),
IF($AF161&gt;$AG161,$AG161,
IF($AF161&gt;$BOJ161,$AF161,
$AL161*(1+'Factors &amp; Percentages'!$B$3))))</f>
        <v>17953</v>
      </c>
      <c r="AI161" s="64">
        <f>IF(+MIN(AH161,+X161*2*AK$1)-(AL161*(1+'Factors &amp; Percentages'!B$3))&gt;0,0,+MIN(AH161,+X161*2*AK$1)-(AL161*(1+'Factors &amp; Percentages'!B$3)))</f>
        <v>0</v>
      </c>
      <c r="AJ161" s="64">
        <f t="shared" si="30"/>
        <v>17953</v>
      </c>
      <c r="AK161" s="65"/>
      <c r="AL161" s="66">
        <v>13000</v>
      </c>
    </row>
    <row r="162" spans="1:38" x14ac:dyDescent="0.25">
      <c r="A162" s="39">
        <v>130131</v>
      </c>
      <c r="B162" s="40" t="s">
        <v>437</v>
      </c>
      <c r="C162" s="40" t="s">
        <v>339</v>
      </c>
      <c r="D162" s="41" t="s">
        <v>152</v>
      </c>
      <c r="E162" s="42" t="s">
        <v>357</v>
      </c>
      <c r="F162" s="42" t="s">
        <v>362</v>
      </c>
      <c r="G162" s="26">
        <f t="shared" si="31"/>
        <v>33166.658232588205</v>
      </c>
      <c r="H162" s="26">
        <v>20845.387516331546</v>
      </c>
      <c r="I162" s="43">
        <v>30437</v>
      </c>
      <c r="J162" s="44">
        <v>34262</v>
      </c>
      <c r="K162" s="44">
        <v>26249</v>
      </c>
      <c r="L162" s="43">
        <v>58842</v>
      </c>
      <c r="M162" s="44">
        <v>37130</v>
      </c>
      <c r="N162" s="44">
        <v>44155</v>
      </c>
      <c r="O162" s="43">
        <v>26555</v>
      </c>
      <c r="P162" s="44">
        <v>25891</v>
      </c>
      <c r="Q162" s="44">
        <v>24289</v>
      </c>
      <c r="R162" s="43">
        <v>11000</v>
      </c>
      <c r="S162" s="44">
        <v>0</v>
      </c>
      <c r="T162" s="44">
        <v>0</v>
      </c>
      <c r="U162" s="45">
        <f t="shared" si="32"/>
        <v>31537</v>
      </c>
      <c r="V162" s="45">
        <f t="shared" si="33"/>
        <v>61497.5</v>
      </c>
      <c r="W162" s="45">
        <f>SUM(U162*'Factors &amp; Percentages'!$E$6+V162*'Factors &amp; Percentages'!$E$7)</f>
        <v>7311.8914859201632</v>
      </c>
      <c r="X162" s="46">
        <v>1</v>
      </c>
      <c r="Y162" s="45">
        <f>X162*'Factors &amp; Percentages'!$E$10</f>
        <v>14160.96928630961</v>
      </c>
      <c r="Z162" s="47">
        <v>2.5382385639661501E-2</v>
      </c>
      <c r="AA162" s="45">
        <f>+'Factors &amp; Percentages'!E$13*Z162</f>
        <v>4230.5875843060858</v>
      </c>
      <c r="AB162" s="48">
        <v>36</v>
      </c>
      <c r="AC162" s="49">
        <v>58</v>
      </c>
      <c r="AD162" s="50">
        <v>5270</v>
      </c>
      <c r="AE162" s="45">
        <f>AB162*'Factors &amp; Percentages'!$E$16+AC162*'Factors &amp; Percentages'!$E$17+AD162*'Factors &amp; Percentages'!$E$18</f>
        <v>7463.2098760523477</v>
      </c>
      <c r="AF162" s="45">
        <f t="shared" si="34"/>
        <v>33166.658232588205</v>
      </c>
      <c r="AG162" s="51">
        <f t="shared" si="35"/>
        <v>33166.658232588205</v>
      </c>
      <c r="AH162" s="26">
        <f>IF($AL162&gt;$AF162,$AL162*(1+'Factors &amp; Percentages'!$B$3),
IF($AF162&gt;$AG162,$AG162,
IF($AF162&gt;$BOJ162,$AF162,
$AL162*(1+'Factors &amp; Percentages'!$B$3))))</f>
        <v>33166.658232588205</v>
      </c>
      <c r="AI162" s="26">
        <f>IF(+MIN(AH162,+X162*2*AK$1)-(AL162*(1+'Factors &amp; Percentages'!B$3))&gt;0,0,+MIN(AH162,+X162*2*AK$1)-(AL162*(1+'Factors &amp; Percentages'!B$3)))</f>
        <v>0</v>
      </c>
      <c r="AJ162" s="26">
        <f t="shared" si="30"/>
        <v>33166.658232588205</v>
      </c>
      <c r="AK162" s="51"/>
      <c r="AL162" s="52">
        <v>20845</v>
      </c>
    </row>
    <row r="163" spans="1:38" x14ac:dyDescent="0.25">
      <c r="A163" s="53">
        <v>130125</v>
      </c>
      <c r="B163" s="54" t="s">
        <v>438</v>
      </c>
      <c r="C163" s="54" t="s">
        <v>340</v>
      </c>
      <c r="D163" s="55" t="s">
        <v>153</v>
      </c>
      <c r="E163" s="56" t="s">
        <v>357</v>
      </c>
      <c r="F163" s="56" t="s">
        <v>362</v>
      </c>
      <c r="G163" s="64">
        <f t="shared" si="31"/>
        <v>20424.497064794286</v>
      </c>
      <c r="H163" s="64">
        <v>22916.267598316437</v>
      </c>
      <c r="I163" s="57">
        <v>18236</v>
      </c>
      <c r="J163" s="58">
        <v>21944</v>
      </c>
      <c r="K163" s="58">
        <v>19784</v>
      </c>
      <c r="L163" s="57">
        <v>124631</v>
      </c>
      <c r="M163" s="58">
        <v>213916</v>
      </c>
      <c r="N163" s="58">
        <v>226957</v>
      </c>
      <c r="O163" s="57">
        <v>26091</v>
      </c>
      <c r="P163" s="58">
        <v>23634</v>
      </c>
      <c r="Q163" s="58">
        <v>23740</v>
      </c>
      <c r="R163" s="57">
        <v>3750</v>
      </c>
      <c r="S163" s="58">
        <v>1153</v>
      </c>
      <c r="T163" s="58">
        <v>126</v>
      </c>
      <c r="U163" s="59">
        <f t="shared" si="32"/>
        <v>18611</v>
      </c>
      <c r="V163" s="59">
        <f t="shared" si="33"/>
        <v>127240.1</v>
      </c>
      <c r="W163" s="59">
        <f>SUM(U163*'Factors &amp; Percentages'!$E$6+V163*'Factors &amp; Percentages'!$E$7)</f>
        <v>10695.790147678723</v>
      </c>
      <c r="X163" s="60">
        <v>0.25</v>
      </c>
      <c r="Y163" s="59">
        <f>X163*'Factors &amp; Percentages'!$E$10</f>
        <v>3540.2423215774024</v>
      </c>
      <c r="Z163" s="61">
        <v>2.2047070495507907E-2</v>
      </c>
      <c r="AA163" s="59">
        <f>+'Factors &amp; Percentages'!E$13*Z163</f>
        <v>3674.6767633564587</v>
      </c>
      <c r="AB163" s="62">
        <v>12</v>
      </c>
      <c r="AC163" s="85">
        <v>21</v>
      </c>
      <c r="AD163" s="63">
        <v>1683</v>
      </c>
      <c r="AE163" s="59">
        <f>AB163*'Factors &amp; Percentages'!$E$16+AC163*'Factors &amp; Percentages'!$E$17+AD163*'Factors &amp; Percentages'!$E$18</f>
        <v>2513.7878321817007</v>
      </c>
      <c r="AF163" s="59">
        <f t="shared" si="34"/>
        <v>20424.497064794286</v>
      </c>
      <c r="AG163" s="65">
        <f t="shared" si="35"/>
        <v>20424.497064794286</v>
      </c>
      <c r="AH163" s="64">
        <f>IF($AL163&gt;$AF163,$AL163*(1+'Factors &amp; Percentages'!$B$3),
IF($AF163&gt;$AG163,$AG163,
IF($AF163&gt;$BOJ163,$AF163,
$AL163*(1+'Factors &amp; Percentages'!$B$3))))</f>
        <v>20424.497064794286</v>
      </c>
      <c r="AI163" s="64">
        <f>IF(+MIN(AH163,+X163*2*AK$1)-(AL163*(1+'Factors &amp; Percentages'!B$3))&gt;0,0,+MIN(AH163,+X163*2*AK$1)-(AL163*(1+'Factors &amp; Percentages'!B$3)))</f>
        <v>0</v>
      </c>
      <c r="AJ163" s="64">
        <f t="shared" si="30"/>
        <v>20424.497064794286</v>
      </c>
      <c r="AK163" s="65"/>
      <c r="AL163" s="66">
        <v>13260</v>
      </c>
    </row>
    <row r="164" spans="1:38" x14ac:dyDescent="0.25">
      <c r="A164" s="39">
        <v>130132</v>
      </c>
      <c r="B164" s="40" t="s">
        <v>154</v>
      </c>
      <c r="C164" s="40" t="s">
        <v>154</v>
      </c>
      <c r="D164" s="41" t="s">
        <v>154</v>
      </c>
      <c r="E164" s="42" t="s">
        <v>357</v>
      </c>
      <c r="F164" s="42" t="s">
        <v>362</v>
      </c>
      <c r="G164" s="26">
        <f t="shared" si="31"/>
        <v>33872.307792017949</v>
      </c>
      <c r="H164" s="26">
        <v>33166.873345841013</v>
      </c>
      <c r="I164" s="43">
        <v>59321</v>
      </c>
      <c r="J164" s="44">
        <v>71388</v>
      </c>
      <c r="K164" s="44">
        <v>58359</v>
      </c>
      <c r="L164" s="43">
        <v>5391</v>
      </c>
      <c r="M164" s="44">
        <v>14148</v>
      </c>
      <c r="N164" s="44">
        <v>23661</v>
      </c>
      <c r="O164" s="43">
        <v>6882</v>
      </c>
      <c r="P164" s="44">
        <v>6942</v>
      </c>
      <c r="Q164" s="44">
        <v>7995</v>
      </c>
      <c r="R164" s="43">
        <v>0</v>
      </c>
      <c r="S164" s="44">
        <v>0</v>
      </c>
      <c r="T164" s="44">
        <v>3197</v>
      </c>
      <c r="U164" s="45">
        <f t="shared" si="32"/>
        <v>59321</v>
      </c>
      <c r="V164" s="45">
        <f t="shared" si="33"/>
        <v>6079.2</v>
      </c>
      <c r="W164" s="45">
        <f>SUM(U164*'Factors &amp; Percentages'!$E$6+V164*'Factors &amp; Percentages'!$E$7)</f>
        <v>6064.4544391545851</v>
      </c>
      <c r="X164" s="46">
        <v>0.75</v>
      </c>
      <c r="Y164" s="45">
        <f>X164*'Factors &amp; Percentages'!$E$10</f>
        <v>10620.726964732206</v>
      </c>
      <c r="Z164" s="47">
        <v>3.7316078378691026E-2</v>
      </c>
      <c r="AA164" s="45">
        <f>+'Factors &amp; Percentages'!E$13*Z164</f>
        <v>6219.6256933864925</v>
      </c>
      <c r="AB164" s="48">
        <v>50</v>
      </c>
      <c r="AC164" s="49">
        <v>68</v>
      </c>
      <c r="AD164" s="50">
        <v>11505</v>
      </c>
      <c r="AE164" s="45">
        <f>AB164*'Factors &amp; Percentages'!$E$16+AC164*'Factors &amp; Percentages'!$E$17+AD164*'Factors &amp; Percentages'!$E$18</f>
        <v>10967.50069474466</v>
      </c>
      <c r="AF164" s="45">
        <f t="shared" si="34"/>
        <v>33872.307792017949</v>
      </c>
      <c r="AG164" s="51">
        <f t="shared" si="35"/>
        <v>33872.307792017949</v>
      </c>
      <c r="AH164" s="26">
        <f>IF($AL164&gt;$AF164,$AL164*(1+'Factors &amp; Percentages'!$B$3),
IF($AF164&gt;$AG164,$AG164,
IF($AF164&gt;$BOJ164,$AF164,
$AL164*(1+'Factors &amp; Percentages'!$B$3))))</f>
        <v>33872.307792017949</v>
      </c>
      <c r="AI164" s="26">
        <f>IF(+MIN(AH164,+X164*2*AK$1)-(AL164*(1+'Factors &amp; Percentages'!B$3))&gt;0,0,+MIN(AH164,+X164*2*AK$1)-(AL164*(1+'Factors &amp; Percentages'!B$3)))</f>
        <v>0</v>
      </c>
      <c r="AJ164" s="26">
        <f t="shared" si="30"/>
        <v>33872.307792017949</v>
      </c>
      <c r="AK164" s="51"/>
      <c r="AL164" s="52">
        <v>30000</v>
      </c>
    </row>
    <row r="165" spans="1:38" hidden="1" x14ac:dyDescent="0.25">
      <c r="A165" s="53">
        <v>130201</v>
      </c>
      <c r="B165" s="54" t="s">
        <v>439</v>
      </c>
      <c r="C165" s="54" t="s">
        <v>20</v>
      </c>
      <c r="D165" s="55" t="s">
        <v>20</v>
      </c>
      <c r="E165" s="56" t="s">
        <v>237</v>
      </c>
      <c r="F165" s="56" t="s">
        <v>237</v>
      </c>
      <c r="G165" s="64">
        <f t="shared" si="31"/>
        <v>42830.426807923708</v>
      </c>
      <c r="H165" s="64">
        <v>50009.4</v>
      </c>
      <c r="I165" s="57">
        <v>72851</v>
      </c>
      <c r="J165" s="58">
        <v>71690</v>
      </c>
      <c r="K165" s="58">
        <v>85680</v>
      </c>
      <c r="L165" s="57">
        <v>109429</v>
      </c>
      <c r="M165" s="58">
        <v>105034</v>
      </c>
      <c r="N165" s="58">
        <v>120845</v>
      </c>
      <c r="O165" s="57">
        <v>7509</v>
      </c>
      <c r="P165" s="58">
        <v>7847</v>
      </c>
      <c r="Q165" s="58">
        <v>6515</v>
      </c>
      <c r="R165" s="57">
        <v>3871</v>
      </c>
      <c r="S165" s="58">
        <v>3435</v>
      </c>
      <c r="T165" s="58">
        <v>1300</v>
      </c>
      <c r="U165" s="59">
        <f t="shared" si="32"/>
        <v>73238.100000000006</v>
      </c>
      <c r="V165" s="59">
        <f t="shared" si="33"/>
        <v>110179.9</v>
      </c>
      <c r="W165" s="59">
        <f>SUM(U165*'Factors &amp; Percentages'!$E$6+V165*'Factors &amp; Percentages'!$E$7)</f>
        <v>14690.704236751941</v>
      </c>
      <c r="X165" s="60">
        <v>0.7</v>
      </c>
      <c r="Y165" s="59">
        <f>X165*'Factors &amp; Percentages'!$E$10</f>
        <v>9912.6785004167268</v>
      </c>
      <c r="Z165" s="61">
        <v>3.9479813971116572E-2</v>
      </c>
      <c r="AA165" s="59">
        <f>+'Factors &amp; Percentages'!E$13*Z165</f>
        <v>6580.2644868785128</v>
      </c>
      <c r="AB165" s="62">
        <v>51</v>
      </c>
      <c r="AC165" s="85">
        <v>98</v>
      </c>
      <c r="AD165" s="63">
        <v>10525</v>
      </c>
      <c r="AE165" s="59">
        <f>AB165*'Factors &amp; Percentages'!$E$16+AC165*'Factors &amp; Percentages'!$E$17+AD165*'Factors &amp; Percentages'!$E$18</f>
        <v>11646.779583876527</v>
      </c>
      <c r="AF165" s="59">
        <f t="shared" si="34"/>
        <v>42830.426807923708</v>
      </c>
      <c r="AG165" s="65">
        <f t="shared" si="35"/>
        <v>42830.426807923708</v>
      </c>
      <c r="AH165" s="64">
        <f>IF($AL165&gt;$AF165,$AL165*(1+'Factors &amp; Percentages'!$B$3),
IF($AF165&gt;$AG165,$AG165,
IF($AF165&gt;$BOJ165,$AF165,
$AL165*(1+'Factors &amp; Percentages'!$B$3))))</f>
        <v>42830.426807923708</v>
      </c>
      <c r="AI165" s="64">
        <f>IF(+MIN(AH165,+X165*2*AK$1)-(AL165*(1+'Factors &amp; Percentages'!B$3))&gt;0,0,+MIN(AH165,+X165*2*AK$1)-(AL165*(1+'Factors &amp; Percentages'!B$3)))</f>
        <v>0</v>
      </c>
      <c r="AJ165" s="64">
        <f t="shared" si="30"/>
        <v>42830.426807923708</v>
      </c>
      <c r="AK165" s="65"/>
      <c r="AL165" s="66">
        <v>32480</v>
      </c>
    </row>
    <row r="166" spans="1:38" hidden="1" x14ac:dyDescent="0.25">
      <c r="A166" s="39">
        <v>130220</v>
      </c>
      <c r="B166" s="40" t="s">
        <v>40</v>
      </c>
      <c r="C166" s="40" t="s">
        <v>40</v>
      </c>
      <c r="D166" s="40" t="s">
        <v>40</v>
      </c>
      <c r="E166" s="42" t="s">
        <v>237</v>
      </c>
      <c r="F166" s="42" t="s">
        <v>239</v>
      </c>
      <c r="G166" s="26">
        <f t="shared" si="31"/>
        <v>26352.055185846242</v>
      </c>
      <c r="H166" s="26">
        <v>29730</v>
      </c>
      <c r="I166" s="43">
        <v>35304</v>
      </c>
      <c r="J166" s="44">
        <v>30804</v>
      </c>
      <c r="K166" s="44">
        <v>34321</v>
      </c>
      <c r="L166" s="43">
        <v>61264</v>
      </c>
      <c r="M166" s="44">
        <v>92255</v>
      </c>
      <c r="N166" s="44">
        <v>67471</v>
      </c>
      <c r="O166" s="43">
        <v>113668</v>
      </c>
      <c r="P166" s="44">
        <v>52561</v>
      </c>
      <c r="Q166" s="44">
        <v>102087</v>
      </c>
      <c r="R166" s="43">
        <v>5094</v>
      </c>
      <c r="S166" s="44">
        <v>2734</v>
      </c>
      <c r="T166" s="44">
        <v>1809</v>
      </c>
      <c r="U166" s="45">
        <f t="shared" si="32"/>
        <v>35813.4</v>
      </c>
      <c r="V166" s="45">
        <f t="shared" si="33"/>
        <v>72630.8</v>
      </c>
      <c r="W166" s="45">
        <f>SUM(U166*'Factors &amp; Percentages'!$E$6+V166*'Factors &amp; Percentages'!$E$7)</f>
        <v>8499.4219837336786</v>
      </c>
      <c r="X166" s="46">
        <v>0.25</v>
      </c>
      <c r="Y166" s="45">
        <f>X166*'Factors &amp; Percentages'!$E$10</f>
        <v>3540.2423215774024</v>
      </c>
      <c r="Z166" s="47">
        <v>5.7105330782628555E-2</v>
      </c>
      <c r="AA166" s="45">
        <f>+'Factors &amp; Percentages'!E$13*Z166</f>
        <v>9517.9825425543531</v>
      </c>
      <c r="AB166" s="48">
        <v>25</v>
      </c>
      <c r="AC166" s="49">
        <v>44</v>
      </c>
      <c r="AD166" s="50">
        <v>1464</v>
      </c>
      <c r="AE166" s="45">
        <f>AB166*'Factors &amp; Percentages'!$E$16+AC166*'Factors &amp; Percentages'!$E$17+AD166*'Factors &amp; Percentages'!$E$18</f>
        <v>4794.4083379808062</v>
      </c>
      <c r="AF166" s="45">
        <f t="shared" si="34"/>
        <v>26352.055185846242</v>
      </c>
      <c r="AG166" s="51">
        <f t="shared" si="35"/>
        <v>26352.055185846242</v>
      </c>
      <c r="AH166" s="26">
        <f>IF($AL166&gt;$AF166,$AL166*(1+'Factors &amp; Percentages'!$B$3),
IF($AF166&gt;$AG166,$AG166,
IF($AF166&gt;$BOJ166,$AF166,
$AL166*(1+'Factors &amp; Percentages'!$B$3))))</f>
        <v>26352.055185846242</v>
      </c>
      <c r="AI166" s="26">
        <f>IF(+MIN(AH166,+X166*2*AK$1)-(AL166*(1+'Factors &amp; Percentages'!B$3))&gt;0,0,+MIN(AH166,+X166*2*AK$1)-(AL166*(1+'Factors &amp; Percentages'!B$3)))</f>
        <v>0</v>
      </c>
      <c r="AJ166" s="26">
        <f t="shared" si="30"/>
        <v>26352.055185846242</v>
      </c>
      <c r="AK166" s="51"/>
      <c r="AL166" s="52">
        <v>13000</v>
      </c>
    </row>
    <row r="167" spans="1:38" hidden="1" x14ac:dyDescent="0.25">
      <c r="A167" s="53">
        <v>130293</v>
      </c>
      <c r="B167" s="54" t="s">
        <v>440</v>
      </c>
      <c r="C167" s="54" t="s">
        <v>228</v>
      </c>
      <c r="D167" s="55" t="s">
        <v>228</v>
      </c>
      <c r="E167" s="56" t="s">
        <v>237</v>
      </c>
      <c r="F167" s="56" t="s">
        <v>239</v>
      </c>
      <c r="G167" s="64">
        <f t="shared" si="31"/>
        <v>30750.629962008286</v>
      </c>
      <c r="H167" s="64">
        <v>31521.363196962004</v>
      </c>
      <c r="I167" s="57">
        <v>42480</v>
      </c>
      <c r="J167" s="58">
        <v>65261</v>
      </c>
      <c r="K167" s="58">
        <v>51319</v>
      </c>
      <c r="L167" s="57">
        <v>135592</v>
      </c>
      <c r="M167" s="58">
        <v>146494</v>
      </c>
      <c r="N167" s="58">
        <v>118848</v>
      </c>
      <c r="O167" s="57">
        <v>205508</v>
      </c>
      <c r="P167" s="58">
        <v>205953</v>
      </c>
      <c r="Q167" s="58">
        <v>171809</v>
      </c>
      <c r="R167" s="57">
        <v>19504</v>
      </c>
      <c r="S167" s="58">
        <v>5328</v>
      </c>
      <c r="T167" s="58">
        <v>9184</v>
      </c>
      <c r="U167" s="59">
        <f t="shared" si="32"/>
        <v>44430.400000000001</v>
      </c>
      <c r="V167" s="59">
        <f t="shared" si="33"/>
        <v>156142.79999999999</v>
      </c>
      <c r="W167" s="59">
        <f>SUM(U167*'Factors &amp; Percentages'!$E$6+V167*'Factors &amp; Percentages'!$E$7)</f>
        <v>15177.470689625303</v>
      </c>
      <c r="X167" s="60">
        <v>0.17</v>
      </c>
      <c r="Y167" s="59">
        <f>X167*'Factors &amp; Percentages'!$E$10</f>
        <v>2407.3647786726337</v>
      </c>
      <c r="Z167" s="61">
        <v>4.1536173853809283E-2</v>
      </c>
      <c r="AA167" s="59">
        <f>+'Factors &amp; Percentages'!E$13*Z167</f>
        <v>6923.0065250812277</v>
      </c>
      <c r="AB167" s="62">
        <v>27</v>
      </c>
      <c r="AC167" s="85">
        <v>79</v>
      </c>
      <c r="AD167" s="63">
        <v>2795</v>
      </c>
      <c r="AE167" s="59">
        <f>AB167*'Factors &amp; Percentages'!$E$16+AC167*'Factors &amp; Percentages'!$E$17+AD167*'Factors &amp; Percentages'!$E$18</f>
        <v>6242.787968629119</v>
      </c>
      <c r="AF167" s="59">
        <f t="shared" si="34"/>
        <v>30750.629962008286</v>
      </c>
      <c r="AG167" s="65">
        <f t="shared" si="35"/>
        <v>30750.629962008286</v>
      </c>
      <c r="AH167" s="64">
        <f>IF($AL167&gt;$AF167,$AL167*(1+'Factors &amp; Percentages'!$B$3),
IF($AF167&gt;$AG167,$AG167,
IF($AF167&gt;$BOJ167,$AF167,
$AL167*(1+'Factors &amp; Percentages'!$B$3))))</f>
        <v>30750.629962008286</v>
      </c>
      <c r="AI167" s="64">
        <f>IF(+MIN(AH167,+X167*2*AK$1)-(AL167*(1+'Factors &amp; Percentages'!B$3))&gt;0,0,+MIN(AH167,+X167*2*AK$1)-(AL167*(1+'Factors &amp; Percentages'!B$3)))</f>
        <v>0</v>
      </c>
      <c r="AJ167" s="64">
        <f t="shared" si="30"/>
        <v>30750.629962008286</v>
      </c>
      <c r="AK167" s="65"/>
      <c r="AL167" s="66">
        <v>20000</v>
      </c>
    </row>
    <row r="168" spans="1:38" hidden="1" x14ac:dyDescent="0.25">
      <c r="A168" s="39">
        <v>130134</v>
      </c>
      <c r="B168" s="40" t="s">
        <v>341</v>
      </c>
      <c r="C168" s="40" t="s">
        <v>341</v>
      </c>
      <c r="D168" s="41" t="s">
        <v>165</v>
      </c>
      <c r="E168" s="42" t="s">
        <v>356</v>
      </c>
      <c r="F168" s="42" t="s">
        <v>358</v>
      </c>
      <c r="G168" s="26">
        <f t="shared" si="31"/>
        <v>36577.450449306474</v>
      </c>
      <c r="H168" s="26">
        <v>40060.65</v>
      </c>
      <c r="I168" s="43">
        <v>44174</v>
      </c>
      <c r="J168" s="44">
        <v>32912</v>
      </c>
      <c r="K168" s="44">
        <v>44595</v>
      </c>
      <c r="L168" s="43">
        <v>59750</v>
      </c>
      <c r="M168" s="44">
        <v>80136</v>
      </c>
      <c r="N168" s="44">
        <v>117798</v>
      </c>
      <c r="O168" s="43">
        <v>17547</v>
      </c>
      <c r="P168" s="44">
        <v>2743</v>
      </c>
      <c r="Q168" s="44">
        <v>5758</v>
      </c>
      <c r="R168" s="43">
        <v>1634</v>
      </c>
      <c r="S168" s="44">
        <v>543</v>
      </c>
      <c r="T168" s="44">
        <v>311</v>
      </c>
      <c r="U168" s="45">
        <f t="shared" si="32"/>
        <v>44337.4</v>
      </c>
      <c r="V168" s="45">
        <f t="shared" si="33"/>
        <v>61504.7</v>
      </c>
      <c r="W168" s="45">
        <f>SUM(U168*'Factors &amp; Percentages'!$E$6+V168*'Factors &amp; Percentages'!$E$7)</f>
        <v>8528.9636857314672</v>
      </c>
      <c r="X168" s="46">
        <v>0.9</v>
      </c>
      <c r="Y168" s="45">
        <f>X168*'Factors &amp; Percentages'!$E$10</f>
        <v>12744.872357678649</v>
      </c>
      <c r="Z168" s="47">
        <v>2.5198628186681518E-2</v>
      </c>
      <c r="AA168" s="45">
        <f>+'Factors &amp; Percentages'!E$13*Z168</f>
        <v>4199.9599667867105</v>
      </c>
      <c r="AB168" s="48">
        <v>40</v>
      </c>
      <c r="AC168" s="49">
        <v>43</v>
      </c>
      <c r="AD168" s="50">
        <v>21115</v>
      </c>
      <c r="AE168" s="45">
        <f>AB168*'Factors &amp; Percentages'!$E$16+AC168*'Factors &amp; Percentages'!$E$17+AD168*'Factors &amp; Percentages'!$E$18</f>
        <v>11103.65443910965</v>
      </c>
      <c r="AF168" s="45">
        <f t="shared" si="34"/>
        <v>36577.450449306474</v>
      </c>
      <c r="AG168" s="51">
        <f t="shared" si="35"/>
        <v>36577.450449306474</v>
      </c>
      <c r="AH168" s="26">
        <f>IF($AL168&gt;$AF168,$AL168*(1+'Factors &amp; Percentages'!$B$3),
IF($AF168&gt;$AG168,$AG168,
IF($AF168&gt;$BOJ168,$AF168,
$AL168*(1+'Factors &amp; Percentages'!$B$3))))</f>
        <v>36577.450449306474</v>
      </c>
      <c r="AI168" s="26">
        <f>IF(+MIN(AH168,+X168*2*AK$1)-(AL168*(1+'Factors &amp; Percentages'!B$3))&gt;0,0,+MIN(AH168,+X168*2*AK$1)-(AL168*(1+'Factors &amp; Percentages'!B$3)))</f>
        <v>0</v>
      </c>
      <c r="AJ168" s="26">
        <f t="shared" ref="AJ168:AJ194" si="36">MIN(AH168-AI168,+X168*2*AK$1)</f>
        <v>36577.450449306474</v>
      </c>
      <c r="AK168" s="51"/>
      <c r="AL168" s="52">
        <v>28153</v>
      </c>
    </row>
    <row r="169" spans="1:38" hidden="1" x14ac:dyDescent="0.25">
      <c r="A169" s="53">
        <v>130347</v>
      </c>
      <c r="B169" s="54" t="s">
        <v>181</v>
      </c>
      <c r="C169" s="54" t="s">
        <v>181</v>
      </c>
      <c r="D169" s="55" t="s">
        <v>181</v>
      </c>
      <c r="E169" s="56" t="s">
        <v>237</v>
      </c>
      <c r="F169" s="56" t="s">
        <v>238</v>
      </c>
      <c r="G169" s="64">
        <f t="shared" si="31"/>
        <v>30496.240000000002</v>
      </c>
      <c r="H169" s="64">
        <v>29607.9</v>
      </c>
      <c r="I169" s="57">
        <v>45207</v>
      </c>
      <c r="J169" s="58">
        <v>44987</v>
      </c>
      <c r="K169" s="58">
        <v>37083</v>
      </c>
      <c r="L169" s="57">
        <v>10435</v>
      </c>
      <c r="M169" s="58">
        <v>6529</v>
      </c>
      <c r="N169" s="58">
        <v>7839</v>
      </c>
      <c r="O169" s="57">
        <v>75338</v>
      </c>
      <c r="P169" s="58">
        <v>5515</v>
      </c>
      <c r="Q169" s="58">
        <v>5508</v>
      </c>
      <c r="R169" s="57">
        <v>0</v>
      </c>
      <c r="S169" s="58">
        <v>0</v>
      </c>
      <c r="T169" s="58">
        <v>5766</v>
      </c>
      <c r="U169" s="59">
        <f t="shared" si="32"/>
        <v>45207</v>
      </c>
      <c r="V169" s="59">
        <f t="shared" si="33"/>
        <v>17968.8</v>
      </c>
      <c r="W169" s="59">
        <f>SUM(U169*'Factors &amp; Percentages'!$E$6+V169*'Factors &amp; Percentages'!$E$7)</f>
        <v>5557.1977175841939</v>
      </c>
      <c r="X169" s="60">
        <v>1</v>
      </c>
      <c r="Y169" s="59">
        <f>X169*'Factors &amp; Percentages'!$E$10</f>
        <v>14160.96928630961</v>
      </c>
      <c r="Z169" s="61">
        <v>2.1207873210850797E-2</v>
      </c>
      <c r="AA169" s="59">
        <f>+'Factors &amp; Percentages'!E$13*Z169</f>
        <v>3534.8042681680554</v>
      </c>
      <c r="AB169" s="62">
        <v>25</v>
      </c>
      <c r="AC169" s="85">
        <v>44</v>
      </c>
      <c r="AD169" s="63">
        <v>20067</v>
      </c>
      <c r="AE169" s="59">
        <f>AB169*'Factors &amp; Percentages'!$E$16+AC169*'Factors &amp; Percentages'!$E$17+AD169*'Factors &amp; Percentages'!$E$18</f>
        <v>8884.2596326029179</v>
      </c>
      <c r="AF169" s="59">
        <f t="shared" si="34"/>
        <v>32137.230904664779</v>
      </c>
      <c r="AG169" s="65">
        <f t="shared" si="35"/>
        <v>29384.55</v>
      </c>
      <c r="AH169" s="64">
        <f>IF($AL169&gt;$AF169,$AL169*(1+'Factors &amp; Percentages'!$B$3),
IF($AF169&gt;$AG169,$AG169,
IF($AF169&gt;$BOJ169,$AF169,
$AL169*(1+'Factors &amp; Percentages'!$B$3))))</f>
        <v>29384.55</v>
      </c>
      <c r="AI169" s="64">
        <f>IF(+MIN(AH169,+X169*2*AK$1)-(AL169*(1+'Factors &amp; Percentages'!B$3))&gt;0,0,+MIN(AH169,+X169*2*AK$1)-(AL169*(1+'Factors &amp; Percentages'!B$3)))</f>
        <v>-1111.6900000000023</v>
      </c>
      <c r="AJ169" s="64">
        <f t="shared" si="36"/>
        <v>30496.240000000002</v>
      </c>
      <c r="AK169" s="65"/>
      <c r="AL169" s="66">
        <v>29608</v>
      </c>
    </row>
    <row r="170" spans="1:38" hidden="1" x14ac:dyDescent="0.25">
      <c r="A170" s="39">
        <v>130345</v>
      </c>
      <c r="B170" s="40" t="s">
        <v>182</v>
      </c>
      <c r="C170" s="40" t="s">
        <v>182</v>
      </c>
      <c r="D170" s="41" t="s">
        <v>182</v>
      </c>
      <c r="E170" s="42" t="s">
        <v>237</v>
      </c>
      <c r="F170" s="42" t="s">
        <v>238</v>
      </c>
      <c r="G170" s="26">
        <f t="shared" si="31"/>
        <v>34998.6</v>
      </c>
      <c r="H170" s="26">
        <v>44563.35</v>
      </c>
      <c r="I170" s="43">
        <v>53844</v>
      </c>
      <c r="J170" s="44">
        <v>68559</v>
      </c>
      <c r="K170" s="44">
        <v>72467</v>
      </c>
      <c r="L170" s="43">
        <v>36679</v>
      </c>
      <c r="M170" s="44">
        <v>52358</v>
      </c>
      <c r="N170" s="44">
        <v>120672</v>
      </c>
      <c r="O170" s="43">
        <v>35028</v>
      </c>
      <c r="P170" s="44">
        <v>35404</v>
      </c>
      <c r="Q170" s="44">
        <v>34168</v>
      </c>
      <c r="R170" s="43">
        <v>1000</v>
      </c>
      <c r="S170" s="44">
        <v>2590</v>
      </c>
      <c r="T170" s="44">
        <v>18143</v>
      </c>
      <c r="U170" s="45">
        <f t="shared" si="32"/>
        <v>53944</v>
      </c>
      <c r="V170" s="45">
        <f t="shared" si="33"/>
        <v>40181.800000000003</v>
      </c>
      <c r="W170" s="45">
        <f>SUM(U170*'Factors &amp; Percentages'!$E$6+V170*'Factors &amp; Percentages'!$E$7)</f>
        <v>7946.0048302778805</v>
      </c>
      <c r="X170" s="46">
        <v>1</v>
      </c>
      <c r="Y170" s="45">
        <f>X170*'Factors &amp; Percentages'!$E$10</f>
        <v>14160.96928630961</v>
      </c>
      <c r="Z170" s="47">
        <v>8.2904990880451002E-2</v>
      </c>
      <c r="AA170" s="45">
        <f>+'Factors &amp; Percentages'!E$13*Z170</f>
        <v>13818.118993031054</v>
      </c>
      <c r="AB170" s="48">
        <v>19</v>
      </c>
      <c r="AC170" s="49">
        <v>71</v>
      </c>
      <c r="AD170" s="50">
        <v>8061</v>
      </c>
      <c r="AE170" s="45">
        <f>AB170*'Factors &amp; Percentages'!$E$16+AC170*'Factors &amp; Percentages'!$E$17+AD170*'Factors &amp; Percentages'!$E$18</f>
        <v>6123.4132495566282</v>
      </c>
      <c r="AF170" s="45">
        <f t="shared" si="34"/>
        <v>42048.506359175175</v>
      </c>
      <c r="AG170" s="51">
        <f t="shared" si="35"/>
        <v>34998.6</v>
      </c>
      <c r="AH170" s="26">
        <f>IF($AL170&gt;$AF170,$AL170*(1+'Factors &amp; Percentages'!$B$3),
IF($AF170&gt;$AG170,$AG170,
IF($AF170&gt;$BOJ170,$AF170,
$AL170*(1+'Factors &amp; Percentages'!$B$3))))</f>
        <v>34998.6</v>
      </c>
      <c r="AI170" s="26">
        <f>IF(+MIN(AH170,+X170*2*AK$1)-(AL170*(1+'Factors &amp; Percentages'!B$3))&gt;0,0,+MIN(AH170,+X170*2*AK$1)-(AL170*(1+'Factors &amp; Percentages'!B$3)))</f>
        <v>0</v>
      </c>
      <c r="AJ170" s="26">
        <f t="shared" si="36"/>
        <v>34998.6</v>
      </c>
      <c r="AK170" s="51"/>
      <c r="AL170" s="52">
        <v>12000</v>
      </c>
    </row>
    <row r="171" spans="1:38" hidden="1" x14ac:dyDescent="0.25">
      <c r="A171" s="53">
        <v>130326</v>
      </c>
      <c r="B171" s="54" t="s">
        <v>342</v>
      </c>
      <c r="C171" s="54" t="s">
        <v>342</v>
      </c>
      <c r="D171" s="55" t="s">
        <v>183</v>
      </c>
      <c r="E171" s="56" t="s">
        <v>237</v>
      </c>
      <c r="F171" s="56" t="s">
        <v>238</v>
      </c>
      <c r="G171" s="64">
        <f t="shared" ref="G171:G194" si="37">+AJ171</f>
        <v>60590.78</v>
      </c>
      <c r="H171" s="64">
        <v>58826.272045040634</v>
      </c>
      <c r="I171" s="57">
        <v>94260</v>
      </c>
      <c r="J171" s="58">
        <v>94260</v>
      </c>
      <c r="K171" s="58">
        <v>110673</v>
      </c>
      <c r="L171" s="57">
        <v>138722</v>
      </c>
      <c r="M171" s="58">
        <v>138722</v>
      </c>
      <c r="N171" s="58">
        <v>123761</v>
      </c>
      <c r="O171" s="57">
        <v>0</v>
      </c>
      <c r="P171" s="58">
        <v>0</v>
      </c>
      <c r="Q171" s="58">
        <v>0</v>
      </c>
      <c r="R171" s="57">
        <v>0</v>
      </c>
      <c r="S171" s="58">
        <v>0</v>
      </c>
      <c r="T171" s="58">
        <v>0</v>
      </c>
      <c r="U171" s="59">
        <f t="shared" ref="U171:U194" si="38">I171+R171*0.1</f>
        <v>94260</v>
      </c>
      <c r="V171" s="59">
        <f t="shared" ref="V171:V194" si="39">L171+0.1*O171</f>
        <v>138722</v>
      </c>
      <c r="W171" s="59">
        <f>SUM(U171*'Factors &amp; Percentages'!$E$6+V171*'Factors &amp; Percentages'!$E$7)</f>
        <v>18691.124832285474</v>
      </c>
      <c r="X171" s="60">
        <v>1</v>
      </c>
      <c r="Y171" s="59">
        <f>X171*'Factors &amp; Percentages'!$E$10</f>
        <v>14160.96928630961</v>
      </c>
      <c r="Z171" s="61">
        <v>8.2979976931566418E-2</v>
      </c>
      <c r="AA171" s="59">
        <f>+'Factors &amp; Percentages'!E$13*Z171</f>
        <v>13830.6172294596</v>
      </c>
      <c r="AB171" s="62">
        <v>43</v>
      </c>
      <c r="AC171" s="85">
        <v>133</v>
      </c>
      <c r="AD171" s="63">
        <v>14870</v>
      </c>
      <c r="AE171" s="59">
        <f>AB171*'Factors &amp; Percentages'!$E$16+AC171*'Factors &amp; Percentages'!$E$17+AD171*'Factors &amp; Percentages'!$E$18</f>
        <v>12414.890099746872</v>
      </c>
      <c r="AF171" s="59">
        <f t="shared" ref="AF171:AF194" si="40">W171+Y171+AA171+AE171</f>
        <v>59097.601447801557</v>
      </c>
      <c r="AG171" s="65">
        <f t="shared" ref="AG171:AG194" si="41">IF($L171&gt;SUM(I171:K171)/3,$AF171,MIN(AF171,$I171*0.65))</f>
        <v>59097.601447801557</v>
      </c>
      <c r="AH171" s="64">
        <f>IF($AL171&gt;$AF171,$AL171*(1+'Factors &amp; Percentages'!$B$3),
IF($AF171&gt;$AG171,$AG171,
IF($AF171&gt;$BOJ171,$AF171,
$AL171*(1+'Factors &amp; Percentages'!$B$3))))</f>
        <v>59097.601447801557</v>
      </c>
      <c r="AI171" s="64">
        <f>IF(+MIN(AH171,+X171*2*AK$1)-(AL171*(1+'Factors &amp; Percentages'!B$3))&gt;0,0,+MIN(AH171,+X171*2*AK$1)-(AL171*(1+'Factors &amp; Percentages'!B$3)))</f>
        <v>-1493.178552198442</v>
      </c>
      <c r="AJ171" s="64">
        <f t="shared" si="36"/>
        <v>60590.78</v>
      </c>
      <c r="AK171" s="65"/>
      <c r="AL171" s="66">
        <v>58826</v>
      </c>
    </row>
    <row r="172" spans="1:38" hidden="1" x14ac:dyDescent="0.25">
      <c r="A172" s="39">
        <v>130318</v>
      </c>
      <c r="B172" s="40" t="s">
        <v>441</v>
      </c>
      <c r="C172" s="40" t="s">
        <v>343</v>
      </c>
      <c r="D172" s="41" t="s">
        <v>184</v>
      </c>
      <c r="E172" s="42" t="s">
        <v>237</v>
      </c>
      <c r="F172" s="42" t="s">
        <v>238</v>
      </c>
      <c r="G172" s="26">
        <f t="shared" si="37"/>
        <v>29776.5</v>
      </c>
      <c r="H172" s="26">
        <v>27699.037991110563</v>
      </c>
      <c r="I172" s="43">
        <v>45810</v>
      </c>
      <c r="J172" s="44">
        <v>42778</v>
      </c>
      <c r="K172" s="44">
        <v>35071</v>
      </c>
      <c r="L172" s="43">
        <v>-34065</v>
      </c>
      <c r="M172" s="44">
        <v>10078</v>
      </c>
      <c r="N172" s="44">
        <f>-73479+76391</f>
        <v>2912</v>
      </c>
      <c r="O172" s="43">
        <v>35268</v>
      </c>
      <c r="P172" s="44">
        <v>60976</v>
      </c>
      <c r="Q172" s="44">
        <v>83087</v>
      </c>
      <c r="R172" s="43">
        <v>946</v>
      </c>
      <c r="S172" s="44">
        <v>2764</v>
      </c>
      <c r="T172" s="44">
        <v>2920</v>
      </c>
      <c r="U172" s="45">
        <f t="shared" si="38"/>
        <v>45904.6</v>
      </c>
      <c r="V172" s="45">
        <f t="shared" si="39"/>
        <v>-30538.2</v>
      </c>
      <c r="W172" s="45">
        <f>SUM(U172*'Factors &amp; Percentages'!$E$6+V172*'Factors &amp; Percentages'!$E$7)</f>
        <v>2220.3196674427677</v>
      </c>
      <c r="X172" s="46">
        <v>1</v>
      </c>
      <c r="Y172" s="45">
        <f>X172*'Factors &amp; Percentages'!$E$10</f>
        <v>14160.96928630961</v>
      </c>
      <c r="Z172" s="47">
        <v>3.0103797895142448E-2</v>
      </c>
      <c r="AA172" s="45">
        <f>+'Factors &amp; Percentages'!E$13*Z172</f>
        <v>5017.5249648971821</v>
      </c>
      <c r="AB172" s="48">
        <v>48</v>
      </c>
      <c r="AC172" s="49">
        <v>39</v>
      </c>
      <c r="AD172" s="50">
        <v>8387</v>
      </c>
      <c r="AE172" s="45">
        <f>AB172*'Factors &amp; Percentages'!$E$16+AC172*'Factors &amp; Percentages'!$E$17+AD172*'Factors &amp; Percentages'!$E$18</f>
        <v>9278.3391720507698</v>
      </c>
      <c r="AF172" s="45">
        <f t="shared" si="40"/>
        <v>30677.153090700333</v>
      </c>
      <c r="AG172" s="51">
        <f t="shared" si="41"/>
        <v>29776.5</v>
      </c>
      <c r="AH172" s="26">
        <f>IF($AL172&gt;$AF172,$AL172*(1+'Factors &amp; Percentages'!$B$3),
IF($AF172&gt;$AG172,$AG172,
IF($AF172&gt;$BOJ172,$AF172,
$AL172*(1+'Factors &amp; Percentages'!$B$3))))</f>
        <v>29776.5</v>
      </c>
      <c r="AI172" s="26">
        <f>IF(+MIN(AH172,+X172*2*AK$1)-(AL172*(1+'Factors &amp; Percentages'!B$3))&gt;0,0,+MIN(AH172,+X172*2*AK$1)-(AL172*(1+'Factors &amp; Percentages'!B$3)))</f>
        <v>0</v>
      </c>
      <c r="AJ172" s="26">
        <f t="shared" si="36"/>
        <v>29776.5</v>
      </c>
      <c r="AK172" s="51"/>
      <c r="AL172" s="52">
        <v>10000</v>
      </c>
    </row>
    <row r="173" spans="1:38" hidden="1" x14ac:dyDescent="0.25">
      <c r="A173" s="53">
        <v>130319</v>
      </c>
      <c r="B173" s="54" t="s">
        <v>442</v>
      </c>
      <c r="C173" s="54" t="s">
        <v>344</v>
      </c>
      <c r="D173" s="55" t="s">
        <v>185</v>
      </c>
      <c r="E173" s="56" t="s">
        <v>237</v>
      </c>
      <c r="F173" s="56" t="s">
        <v>238</v>
      </c>
      <c r="G173" s="64">
        <f t="shared" si="37"/>
        <v>46377.179552916117</v>
      </c>
      <c r="H173" s="64">
        <v>52500</v>
      </c>
      <c r="I173" s="57">
        <v>87219</v>
      </c>
      <c r="J173" s="58">
        <v>100651</v>
      </c>
      <c r="K173" s="58">
        <v>84289</v>
      </c>
      <c r="L173" s="57">
        <v>45428</v>
      </c>
      <c r="M173" s="58">
        <v>8131</v>
      </c>
      <c r="N173" s="58">
        <v>-20917</v>
      </c>
      <c r="O173" s="57">
        <v>17927</v>
      </c>
      <c r="P173" s="58">
        <v>22386</v>
      </c>
      <c r="Q173" s="58">
        <v>29013</v>
      </c>
      <c r="R173" s="57">
        <v>8053</v>
      </c>
      <c r="S173" s="58">
        <v>8320</v>
      </c>
      <c r="T173" s="58">
        <v>13461</v>
      </c>
      <c r="U173" s="59">
        <f t="shared" si="38"/>
        <v>88024.3</v>
      </c>
      <c r="V173" s="59">
        <f t="shared" si="39"/>
        <v>47220.7</v>
      </c>
      <c r="W173" s="59">
        <f>SUM(U173*'Factors &amp; Percentages'!$E$6+V173*'Factors &amp; Percentages'!$E$7)</f>
        <v>11678.880658610618</v>
      </c>
      <c r="X173" s="60">
        <v>0.9</v>
      </c>
      <c r="Y173" s="59">
        <f>X173*'Factors &amp; Percentages'!$E$10</f>
        <v>12744.872357678649</v>
      </c>
      <c r="Z173" s="61">
        <v>3.1240237425804437E-2</v>
      </c>
      <c r="AA173" s="59">
        <f>+'Factors &amp; Percentages'!E$13*Z173</f>
        <v>5206.9400591671538</v>
      </c>
      <c r="AB173" s="62">
        <v>80</v>
      </c>
      <c r="AC173" s="85">
        <v>113</v>
      </c>
      <c r="AD173" s="63">
        <v>14278</v>
      </c>
      <c r="AE173" s="59">
        <f>AB173*'Factors &amp; Percentages'!$E$16+AC173*'Factors &amp; Percentages'!$E$17+AD173*'Factors &amp; Percentages'!$E$18</f>
        <v>16746.486477459694</v>
      </c>
      <c r="AF173" s="59">
        <f t="shared" si="40"/>
        <v>46377.179552916117</v>
      </c>
      <c r="AG173" s="65">
        <f t="shared" si="41"/>
        <v>46377.179552916117</v>
      </c>
      <c r="AH173" s="64">
        <f>IF($AL173&gt;$AF173,$AL173*(1+'Factors &amp; Percentages'!$B$3),
IF($AF173&gt;$AG173,$AG173,
IF($AF173&gt;$BOJ173,$AF173,
$AL173*(1+'Factors &amp; Percentages'!$B$3))))</f>
        <v>46377.179552916117</v>
      </c>
      <c r="AI173" s="64">
        <f>IF(+MIN(AH173,+X173*2*AK$1)-(AL173*(1+'Factors &amp; Percentages'!B$3))&gt;0,0,+MIN(AH173,+X173*2*AK$1)-(AL173*(1+'Factors &amp; Percentages'!B$3)))</f>
        <v>0</v>
      </c>
      <c r="AJ173" s="64">
        <f t="shared" si="36"/>
        <v>46377.179552916117</v>
      </c>
      <c r="AK173" s="65"/>
      <c r="AL173" s="66">
        <v>45000</v>
      </c>
    </row>
    <row r="174" spans="1:38" hidden="1" x14ac:dyDescent="0.25">
      <c r="A174" s="39">
        <v>130321</v>
      </c>
      <c r="B174" s="40" t="s">
        <v>186</v>
      </c>
      <c r="C174" s="40" t="s">
        <v>186</v>
      </c>
      <c r="D174" s="41" t="s">
        <v>186</v>
      </c>
      <c r="E174" s="42" t="s">
        <v>237</v>
      </c>
      <c r="F174" s="42" t="s">
        <v>238</v>
      </c>
      <c r="G174" s="26">
        <f t="shared" si="37"/>
        <v>50636.229377934535</v>
      </c>
      <c r="H174" s="26">
        <v>57750</v>
      </c>
      <c r="I174" s="43">
        <v>153291</v>
      </c>
      <c r="J174" s="44">
        <v>130706</v>
      </c>
      <c r="K174" s="44">
        <v>136295</v>
      </c>
      <c r="L174" s="43">
        <v>83338</v>
      </c>
      <c r="M174" s="44">
        <v>70396</v>
      </c>
      <c r="N174" s="44">
        <v>73111</v>
      </c>
      <c r="O174" s="43">
        <v>20321</v>
      </c>
      <c r="P174" s="44">
        <v>17646</v>
      </c>
      <c r="Q174" s="44">
        <v>27407</v>
      </c>
      <c r="R174" s="43">
        <v>5395</v>
      </c>
      <c r="S174" s="44">
        <v>12933</v>
      </c>
      <c r="T174" s="44">
        <v>15480</v>
      </c>
      <c r="U174" s="45">
        <f t="shared" si="38"/>
        <v>153830.5</v>
      </c>
      <c r="V174" s="45">
        <f t="shared" si="39"/>
        <v>85370.1</v>
      </c>
      <c r="W174" s="45">
        <f>SUM(U174*'Factors &amp; Percentages'!$E$6+V174*'Factors &amp; Percentages'!$E$7)</f>
        <v>20609.694612965417</v>
      </c>
      <c r="X174" s="46">
        <v>1</v>
      </c>
      <c r="Y174" s="45">
        <f>X174*'Factors &amp; Percentages'!$E$10</f>
        <v>14160.96928630961</v>
      </c>
      <c r="Z174" s="47">
        <v>1.7595039606434153E-2</v>
      </c>
      <c r="AA174" s="45">
        <f>+'Factors &amp; Percentages'!E$13*Z174</f>
        <v>2932.6382933856826</v>
      </c>
      <c r="AB174" s="48">
        <v>70</v>
      </c>
      <c r="AC174" s="49">
        <v>76</v>
      </c>
      <c r="AD174" s="50">
        <v>7306</v>
      </c>
      <c r="AE174" s="45">
        <f>AB174*'Factors &amp; Percentages'!$E$16+AC174*'Factors &amp; Percentages'!$E$17+AD174*'Factors &amp; Percentages'!$E$18</f>
        <v>12932.927185273827</v>
      </c>
      <c r="AF174" s="45">
        <f t="shared" si="40"/>
        <v>50636.229377934535</v>
      </c>
      <c r="AG174" s="51">
        <f t="shared" si="41"/>
        <v>50636.229377934535</v>
      </c>
      <c r="AH174" s="26">
        <f>IF($AL174&gt;$AF174,$AL174*(1+'Factors &amp; Percentages'!$B$3),
IF($AF174&gt;$AG174,$AG174,
IF($AF174&gt;$BOJ174,$AF174,
$AL174*(1+'Factors &amp; Percentages'!$B$3))))</f>
        <v>50636.229377934535</v>
      </c>
      <c r="AI174" s="26">
        <f>IF(+MIN(AH174,+X174*2*AK$1)-(AL174*(1+'Factors &amp; Percentages'!B$3))&gt;0,0,+MIN(AH174,+X174*2*AK$1)-(AL174*(1+'Factors &amp; Percentages'!B$3)))</f>
        <v>0</v>
      </c>
      <c r="AJ174" s="26">
        <f t="shared" si="36"/>
        <v>50636.229377934535</v>
      </c>
      <c r="AK174" s="51"/>
      <c r="AL174" s="52">
        <v>17000</v>
      </c>
    </row>
    <row r="175" spans="1:38" hidden="1" x14ac:dyDescent="0.25">
      <c r="A175" s="53">
        <v>130264</v>
      </c>
      <c r="B175" s="54" t="s">
        <v>443</v>
      </c>
      <c r="C175" s="54" t="s">
        <v>345</v>
      </c>
      <c r="D175" s="55" t="s">
        <v>138</v>
      </c>
      <c r="E175" s="56" t="s">
        <v>237</v>
      </c>
      <c r="F175" s="56" t="s">
        <v>126</v>
      </c>
      <c r="G175" s="64">
        <f t="shared" si="37"/>
        <v>46234.64</v>
      </c>
      <c r="H175" s="64">
        <v>44887.5</v>
      </c>
      <c r="I175" s="57">
        <v>103686</v>
      </c>
      <c r="J175" s="58">
        <v>107096</v>
      </c>
      <c r="K175" s="58">
        <v>101771</v>
      </c>
      <c r="L175" s="57">
        <v>13791</v>
      </c>
      <c r="M175" s="58">
        <v>5434</v>
      </c>
      <c r="N175" s="58">
        <v>14833</v>
      </c>
      <c r="O175" s="57">
        <v>10142</v>
      </c>
      <c r="P175" s="58">
        <v>9815</v>
      </c>
      <c r="Q175" s="58">
        <v>26711</v>
      </c>
      <c r="R175" s="57">
        <v>10248</v>
      </c>
      <c r="S175" s="58">
        <v>29234</v>
      </c>
      <c r="T175" s="58">
        <v>21485</v>
      </c>
      <c r="U175" s="59">
        <f t="shared" si="38"/>
        <v>104710.8</v>
      </c>
      <c r="V175" s="59">
        <f t="shared" si="39"/>
        <v>14805.2</v>
      </c>
      <c r="W175" s="59">
        <f>SUM(U175*'Factors &amp; Percentages'!$E$6+V175*'Factors &amp; Percentages'!$E$7)</f>
        <v>10990.56462858243</v>
      </c>
      <c r="X175" s="60">
        <v>0.5</v>
      </c>
      <c r="Y175" s="59">
        <f>X175*'Factors &amp; Percentages'!$E$10</f>
        <v>7080.4846431548049</v>
      </c>
      <c r="Z175" s="61">
        <v>1.9489264338739005E-2</v>
      </c>
      <c r="AA175" s="59">
        <f>+'Factors &amp; Percentages'!E$13*Z175</f>
        <v>3248.3565930025857</v>
      </c>
      <c r="AB175" s="62">
        <v>50</v>
      </c>
      <c r="AC175" s="85">
        <v>54</v>
      </c>
      <c r="AD175" s="63">
        <v>7955</v>
      </c>
      <c r="AE175" s="59">
        <f>AB175*'Factors &amp; Percentages'!$E$16+AC175*'Factors &amp; Percentages'!$E$17+AD175*'Factors &amp; Percentages'!$E$18</f>
        <v>9832.163968265304</v>
      </c>
      <c r="AF175" s="59">
        <f t="shared" si="40"/>
        <v>31151.569833005124</v>
      </c>
      <c r="AG175" s="65">
        <f t="shared" si="41"/>
        <v>31151.569833005124</v>
      </c>
      <c r="AH175" s="64">
        <f>IF($AL175&gt;$AF175,$AL175*(1+'Factors &amp; Percentages'!$B$3),
IF($AF175&gt;$AG175,$AG175,
IF($AF175&gt;$BOJ175,$AF175,
$AL175*(1+'Factors &amp; Percentages'!$B$3))))</f>
        <v>46234.64</v>
      </c>
      <c r="AI175" s="64">
        <f>IF(+MIN(AH175,+X175*2*AK$1)-(AL175*(1+'Factors &amp; Percentages'!B$3))&gt;0,0,+MIN(AH175,+X175*2*AK$1)-(AL175*(1+'Factors &amp; Percentages'!B$3)))</f>
        <v>0</v>
      </c>
      <c r="AJ175" s="64">
        <f t="shared" si="36"/>
        <v>46234.64</v>
      </c>
      <c r="AK175" s="65"/>
      <c r="AL175" s="66">
        <v>44888</v>
      </c>
    </row>
    <row r="176" spans="1:38" x14ac:dyDescent="0.25">
      <c r="A176" s="39">
        <v>130348</v>
      </c>
      <c r="B176" s="40" t="s">
        <v>188</v>
      </c>
      <c r="C176" s="40" t="s">
        <v>188</v>
      </c>
      <c r="D176" s="41" t="s">
        <v>188</v>
      </c>
      <c r="E176" s="42" t="s">
        <v>357</v>
      </c>
      <c r="F176" s="42" t="s">
        <v>249</v>
      </c>
      <c r="G176" s="26">
        <f t="shared" si="37"/>
        <v>45461.720924865331</v>
      </c>
      <c r="H176" s="26">
        <v>36157</v>
      </c>
      <c r="I176" s="43">
        <v>89446</v>
      </c>
      <c r="J176" s="44">
        <v>72482</v>
      </c>
      <c r="K176" s="44">
        <v>70274</v>
      </c>
      <c r="L176" s="43">
        <v>52253</v>
      </c>
      <c r="M176" s="44">
        <v>48064</v>
      </c>
      <c r="N176" s="44">
        <v>30889</v>
      </c>
      <c r="O176" s="43">
        <v>19198</v>
      </c>
      <c r="P176" s="44">
        <v>26081</v>
      </c>
      <c r="Q176" s="44">
        <v>2268</v>
      </c>
      <c r="R176" s="43">
        <v>51</v>
      </c>
      <c r="S176" s="44">
        <v>1045</v>
      </c>
      <c r="T176" s="44">
        <v>553</v>
      </c>
      <c r="U176" s="45">
        <f t="shared" si="38"/>
        <v>89451.1</v>
      </c>
      <c r="V176" s="45">
        <f t="shared" si="39"/>
        <v>54172.800000000003</v>
      </c>
      <c r="W176" s="45">
        <f>SUM(U176*'Factors &amp; Percentages'!$E$6+V176*'Factors &amp; Percentages'!$E$7)</f>
        <v>12302.23461313006</v>
      </c>
      <c r="X176" s="46">
        <v>1</v>
      </c>
      <c r="Y176" s="45">
        <f>X176*'Factors &amp; Percentages'!$E$10</f>
        <v>14160.96928630961</v>
      </c>
      <c r="Z176" s="47">
        <v>2.4687456796950606E-2</v>
      </c>
      <c r="AA176" s="45">
        <f>+'Factors &amp; Percentages'!E$13*Z176</f>
        <v>4114.7609092375669</v>
      </c>
      <c r="AB176" s="48">
        <v>91</v>
      </c>
      <c r="AC176" s="49">
        <v>53</v>
      </c>
      <c r="AD176" s="50">
        <v>6004</v>
      </c>
      <c r="AE176" s="45">
        <f>AB176*'Factors &amp; Percentages'!$E$16+AC176*'Factors &amp; Percentages'!$E$17+AD176*'Factors &amp; Percentages'!$E$18</f>
        <v>14883.756116188089</v>
      </c>
      <c r="AF176" s="45">
        <f t="shared" si="40"/>
        <v>45461.720924865331</v>
      </c>
      <c r="AG176" s="51">
        <f t="shared" si="41"/>
        <v>45461.720924865331</v>
      </c>
      <c r="AH176" s="26">
        <f>IF($AL176&gt;$AF176,$AL176*(1+'Factors &amp; Percentages'!$B$3),
IF($AF176&gt;$AG176,$AG176,
IF($AF176&gt;$BOJ176,$AF176,
$AL176*(1+'Factors &amp; Percentages'!$B$3))))</f>
        <v>45461.720924865331</v>
      </c>
      <c r="AI176" s="26">
        <f>IF(+MIN(AH176,+X176*2*AK$1)-(AL176*(1+'Factors &amp; Percentages'!B$3))&gt;0,0,+MIN(AH176,+X176*2*AK$1)-(AL176*(1+'Factors &amp; Percentages'!B$3)))</f>
        <v>0</v>
      </c>
      <c r="AJ176" s="26">
        <f t="shared" si="36"/>
        <v>45461.720924865331</v>
      </c>
      <c r="AK176" s="51"/>
      <c r="AL176" s="52">
        <v>12000</v>
      </c>
    </row>
    <row r="177" spans="1:38" x14ac:dyDescent="0.25">
      <c r="A177" s="53">
        <v>130181</v>
      </c>
      <c r="B177" s="54" t="s">
        <v>444</v>
      </c>
      <c r="C177" s="54" t="s">
        <v>346</v>
      </c>
      <c r="D177" s="55" t="s">
        <v>200</v>
      </c>
      <c r="E177" s="56" t="s">
        <v>357</v>
      </c>
      <c r="F177" s="56" t="s">
        <v>249</v>
      </c>
      <c r="G177" s="64">
        <f t="shared" si="37"/>
        <v>40119.996483074312</v>
      </c>
      <c r="H177" s="64">
        <v>39375</v>
      </c>
      <c r="I177" s="57">
        <v>70317</v>
      </c>
      <c r="J177" s="58">
        <v>62686</v>
      </c>
      <c r="K177" s="58">
        <v>55255</v>
      </c>
      <c r="L177" s="57">
        <v>68450</v>
      </c>
      <c r="M177" s="58">
        <v>63775</v>
      </c>
      <c r="N177" s="58">
        <v>69141</v>
      </c>
      <c r="O177" s="57">
        <v>5832</v>
      </c>
      <c r="P177" s="58">
        <v>5832</v>
      </c>
      <c r="Q177" s="58">
        <v>6240</v>
      </c>
      <c r="R177" s="57">
        <v>1604</v>
      </c>
      <c r="S177" s="58">
        <v>1434</v>
      </c>
      <c r="T177" s="58">
        <v>2870</v>
      </c>
      <c r="U177" s="59">
        <f t="shared" si="38"/>
        <v>70477.399999999994</v>
      </c>
      <c r="V177" s="59">
        <f t="shared" si="39"/>
        <v>69033.2</v>
      </c>
      <c r="W177" s="59">
        <f>SUM(U177*'Factors &amp; Percentages'!$E$6+V177*'Factors &amp; Percentages'!$E$7)</f>
        <v>11541.532437181697</v>
      </c>
      <c r="X177" s="60">
        <v>1</v>
      </c>
      <c r="Y177" s="59">
        <f>X177*'Factors &amp; Percentages'!$E$10</f>
        <v>14160.96928630961</v>
      </c>
      <c r="Z177" s="61">
        <v>3.1912381365722275E-2</v>
      </c>
      <c r="AA177" s="59">
        <f>+'Factors &amp; Percentages'!E$13*Z177</f>
        <v>5318.9690799003247</v>
      </c>
      <c r="AB177" s="62">
        <v>42</v>
      </c>
      <c r="AC177" s="85">
        <v>56</v>
      </c>
      <c r="AD177" s="63">
        <v>9274</v>
      </c>
      <c r="AE177" s="59">
        <f>AB177*'Factors &amp; Percentages'!$E$16+AC177*'Factors &amp; Percentages'!$E$17+AD177*'Factors &amp; Percentages'!$E$18</f>
        <v>9098.5256796826761</v>
      </c>
      <c r="AF177" s="59">
        <f t="shared" si="40"/>
        <v>40119.996483074312</v>
      </c>
      <c r="AG177" s="65">
        <f t="shared" si="41"/>
        <v>40119.996483074312</v>
      </c>
      <c r="AH177" s="64">
        <f>IF($AL177&gt;$AF177,$AL177*(1+'Factors &amp; Percentages'!$B$3),
IF($AF177&gt;$AG177,$AG177,
IF($AF177&gt;$BOJ177,$AF177,
$AL177*(1+'Factors &amp; Percentages'!$B$3))))</f>
        <v>40119.996483074312</v>
      </c>
      <c r="AI177" s="64">
        <f>IF(+MIN(AH177,+X177*2*AK$1)-(AL177*(1+'Factors &amp; Percentages'!B$3))&gt;0,0,+MIN(AH177,+X177*2*AK$1)-(AL177*(1+'Factors &amp; Percentages'!B$3)))</f>
        <v>0</v>
      </c>
      <c r="AJ177" s="64">
        <f t="shared" si="36"/>
        <v>40119.996483074312</v>
      </c>
      <c r="AK177" s="65"/>
      <c r="AL177" s="66">
        <v>38000</v>
      </c>
    </row>
    <row r="178" spans="1:38" x14ac:dyDescent="0.25">
      <c r="A178" s="39">
        <v>130161</v>
      </c>
      <c r="B178" s="40" t="s">
        <v>445</v>
      </c>
      <c r="C178" s="40" t="s">
        <v>347</v>
      </c>
      <c r="D178" s="41" t="s">
        <v>201</v>
      </c>
      <c r="E178" s="42" t="s">
        <v>357</v>
      </c>
      <c r="F178" s="42" t="s">
        <v>249</v>
      </c>
      <c r="G178" s="26">
        <f t="shared" si="37"/>
        <v>36389.550236534065</v>
      </c>
      <c r="H178" s="26">
        <v>20921.55</v>
      </c>
      <c r="I178" s="43">
        <v>20117</v>
      </c>
      <c r="J178" s="44">
        <v>32187</v>
      </c>
      <c r="K178" s="44">
        <v>35036</v>
      </c>
      <c r="L178" s="43">
        <v>141248</v>
      </c>
      <c r="M178" s="44">
        <v>17149</v>
      </c>
      <c r="N178" s="44">
        <v>10771</v>
      </c>
      <c r="O178" s="43">
        <v>20570</v>
      </c>
      <c r="P178" s="44">
        <v>0</v>
      </c>
      <c r="Q178" s="44">
        <v>0</v>
      </c>
      <c r="R178" s="43">
        <v>0</v>
      </c>
      <c r="S178" s="44">
        <v>0</v>
      </c>
      <c r="T178" s="44">
        <v>0</v>
      </c>
      <c r="U178" s="45">
        <f t="shared" si="38"/>
        <v>20117</v>
      </c>
      <c r="V178" s="45">
        <f t="shared" si="39"/>
        <v>143305</v>
      </c>
      <c r="W178" s="45">
        <f>SUM(U178*'Factors &amp; Percentages'!$E$6+V178*'Factors &amp; Percentages'!$E$7)</f>
        <v>11966.011852780161</v>
      </c>
      <c r="X178" s="46">
        <v>1</v>
      </c>
      <c r="Y178" s="45">
        <f>X178*'Factors &amp; Percentages'!$E$10</f>
        <v>14160.96928630961</v>
      </c>
      <c r="Z178" s="47">
        <v>1.914135700736368E-2</v>
      </c>
      <c r="AA178" s="45">
        <f>+'Factors &amp; Percentages'!E$13*Z178</f>
        <v>3190.3694338166638</v>
      </c>
      <c r="AB178" s="48">
        <v>29</v>
      </c>
      <c r="AC178" s="49">
        <v>42</v>
      </c>
      <c r="AD178" s="50">
        <v>9612</v>
      </c>
      <c r="AE178" s="45">
        <f>AB178*'Factors &amp; Percentages'!$E$16+AC178*'Factors &amp; Percentages'!$E$17+AD178*'Factors &amp; Percentages'!$E$18</f>
        <v>7072.1996636276335</v>
      </c>
      <c r="AF178" s="45">
        <f t="shared" si="40"/>
        <v>36389.550236534065</v>
      </c>
      <c r="AG178" s="51">
        <f t="shared" si="41"/>
        <v>36389.550236534065</v>
      </c>
      <c r="AH178" s="26">
        <f>IF($AL178&gt;$AF178,$AL178*(1+'Factors &amp; Percentages'!$B$3),
IF($AF178&gt;$AG178,$AG178,
IF($AF178&gt;$BOJ178,$AF178,
$AL178*(1+'Factors &amp; Percentages'!$B$3))))</f>
        <v>36389.550236534065</v>
      </c>
      <c r="AI178" s="26">
        <f>IF(+MIN(AH178,+X178*2*AK$1)-(AL178*(1+'Factors &amp; Percentages'!B$3))&gt;0,0,+MIN(AH178,+X178*2*AK$1)-(AL178*(1+'Factors &amp; Percentages'!B$3)))</f>
        <v>0</v>
      </c>
      <c r="AJ178" s="26">
        <f t="shared" si="36"/>
        <v>36389.550236534065</v>
      </c>
      <c r="AK178" s="51"/>
      <c r="AL178" s="52">
        <v>15000</v>
      </c>
    </row>
    <row r="179" spans="1:38" x14ac:dyDescent="0.25">
      <c r="A179" s="53">
        <v>130349</v>
      </c>
      <c r="B179" s="54" t="s">
        <v>366</v>
      </c>
      <c r="C179" s="54" t="s">
        <v>348</v>
      </c>
      <c r="D179" s="55" t="s">
        <v>199</v>
      </c>
      <c r="E179" s="56" t="s">
        <v>357</v>
      </c>
      <c r="F179" s="56" t="s">
        <v>249</v>
      </c>
      <c r="G179" s="64">
        <f t="shared" si="37"/>
        <v>8663.85</v>
      </c>
      <c r="H179" s="64">
        <v>12948.676844883848</v>
      </c>
      <c r="I179" s="57">
        <v>13329</v>
      </c>
      <c r="J179" s="58">
        <v>65273</v>
      </c>
      <c r="K179" s="58">
        <v>18231</v>
      </c>
      <c r="L179" s="57">
        <v>14852</v>
      </c>
      <c r="M179" s="58">
        <v>55758</v>
      </c>
      <c r="N179" s="58">
        <v>14629</v>
      </c>
      <c r="O179" s="57">
        <v>42989</v>
      </c>
      <c r="P179" s="58">
        <v>529</v>
      </c>
      <c r="Q179" s="58">
        <v>0</v>
      </c>
      <c r="R179" s="57">
        <v>1817</v>
      </c>
      <c r="S179" s="58">
        <v>58</v>
      </c>
      <c r="T179" s="58">
        <v>0</v>
      </c>
      <c r="U179" s="59">
        <f t="shared" si="38"/>
        <v>13510.7</v>
      </c>
      <c r="V179" s="59">
        <f t="shared" si="39"/>
        <v>19150.900000000001</v>
      </c>
      <c r="W179" s="59">
        <f>SUM(U179*'Factors &amp; Percentages'!$E$6+V179*'Factors &amp; Percentages'!$E$7)</f>
        <v>2627.6735405355121</v>
      </c>
      <c r="X179" s="60">
        <v>0.1</v>
      </c>
      <c r="Y179" s="59">
        <f>X179*'Factors &amp; Percentages'!$E$10</f>
        <v>1416.096928630961</v>
      </c>
      <c r="Z179" s="61">
        <v>2.3948424672625035E-2</v>
      </c>
      <c r="AA179" s="59">
        <f>+'Factors &amp; Percentages'!E$13*Z179</f>
        <v>3991.5833571366443</v>
      </c>
      <c r="AB179" s="62">
        <v>7</v>
      </c>
      <c r="AC179" s="85">
        <v>7</v>
      </c>
      <c r="AD179" s="63">
        <v>12814</v>
      </c>
      <c r="AE179" s="59">
        <f>AB179*'Factors &amp; Percentages'!$E$16+AC179*'Factors &amp; Percentages'!$E$17+AD179*'Factors &amp; Percentages'!$E$18</f>
        <v>3934.6075204872941</v>
      </c>
      <c r="AF179" s="59">
        <f t="shared" si="40"/>
        <v>11969.961346790411</v>
      </c>
      <c r="AG179" s="65">
        <f t="shared" si="41"/>
        <v>8663.85</v>
      </c>
      <c r="AH179" s="64">
        <f>IF($AL179&gt;$AF179,$AL179*(1+'Factors &amp; Percentages'!$B$3),
IF($AF179&gt;$AG179,$AG179,
IF($AF179&gt;$BOJ179,$AF179,
$AL179*(1+'Factors &amp; Percentages'!$B$3))))</f>
        <v>8663.85</v>
      </c>
      <c r="AI179" s="64">
        <f>IF(+MIN(AH179,+X179*2*AK$1)-(AL179*(1+'Factors &amp; Percentages'!B$3))&gt;0,0,+MIN(AH179,+X179*2*AK$1)-(AL179*(1+'Factors &amp; Percentages'!B$3)))</f>
        <v>0</v>
      </c>
      <c r="AJ179" s="64">
        <f t="shared" si="36"/>
        <v>8663.85</v>
      </c>
      <c r="AK179" s="65"/>
      <c r="AL179" s="66">
        <v>6540</v>
      </c>
    </row>
    <row r="180" spans="1:38" x14ac:dyDescent="0.25">
      <c r="A180" s="39">
        <v>130175</v>
      </c>
      <c r="B180" s="40" t="s">
        <v>349</v>
      </c>
      <c r="C180" s="40" t="s">
        <v>349</v>
      </c>
      <c r="D180" s="41" t="s">
        <v>198</v>
      </c>
      <c r="E180" s="42" t="s">
        <v>357</v>
      </c>
      <c r="F180" s="42" t="s">
        <v>249</v>
      </c>
      <c r="G180" s="26">
        <f t="shared" si="37"/>
        <v>27102.400000000001</v>
      </c>
      <c r="H180" s="26">
        <v>27422.850000000002</v>
      </c>
      <c r="I180" s="43">
        <v>41696</v>
      </c>
      <c r="J180" s="44">
        <v>42189</v>
      </c>
      <c r="K180" s="44">
        <v>44150</v>
      </c>
      <c r="L180" s="43">
        <v>20171</v>
      </c>
      <c r="M180" s="44">
        <v>11106</v>
      </c>
      <c r="N180" s="44">
        <v>6246</v>
      </c>
      <c r="O180" s="43">
        <v>49382</v>
      </c>
      <c r="P180" s="44">
        <v>50083</v>
      </c>
      <c r="Q180" s="44">
        <v>50083</v>
      </c>
      <c r="R180" s="43">
        <v>200</v>
      </c>
      <c r="S180" s="44">
        <v>0</v>
      </c>
      <c r="T180" s="44">
        <v>987</v>
      </c>
      <c r="U180" s="45">
        <f t="shared" si="38"/>
        <v>41716</v>
      </c>
      <c r="V180" s="45">
        <f t="shared" si="39"/>
        <v>25109.200000000001</v>
      </c>
      <c r="W180" s="45">
        <f>SUM(U180*'Factors &amp; Percentages'!$E$6+V180*'Factors &amp; Percentages'!$E$7)</f>
        <v>5726.3682600954871</v>
      </c>
      <c r="X180" s="46">
        <v>1</v>
      </c>
      <c r="Y180" s="45">
        <f>X180*'Factors &amp; Percentages'!$E$10</f>
        <v>14160.96928630961</v>
      </c>
      <c r="Z180" s="47">
        <v>4.0601717452648248E-2</v>
      </c>
      <c r="AA180" s="45">
        <f>+'Factors &amp; Percentages'!E$13*Z180</f>
        <v>6767.2567974965214</v>
      </c>
      <c r="AB180" s="48">
        <v>15</v>
      </c>
      <c r="AC180" s="49">
        <v>108</v>
      </c>
      <c r="AD180" s="50">
        <v>15257</v>
      </c>
      <c r="AE180" s="45">
        <f>AB180*'Factors &amp; Percentages'!$E$16+AC180*'Factors &amp; Percentages'!$E$17+AD180*'Factors &amp; Percentages'!$E$18</f>
        <v>8106.1670419901693</v>
      </c>
      <c r="AF180" s="45">
        <f t="shared" si="40"/>
        <v>34760.76138589179</v>
      </c>
      <c r="AG180" s="51">
        <f t="shared" si="41"/>
        <v>27102.400000000001</v>
      </c>
      <c r="AH180" s="26">
        <f>IF($AL180&gt;$AF180,$AL180*(1+'Factors &amp; Percentages'!$B$3),
IF($AF180&gt;$AG180,$AG180,
IF($AF180&gt;$BOJ180,$AF180,
$AL180*(1+'Factors &amp; Percentages'!$B$3))))</f>
        <v>27102.400000000001</v>
      </c>
      <c r="AI180" s="26">
        <f>IF(+MIN(AH180,+X180*2*AK$1)-(AL180*(1+'Factors &amp; Percentages'!B$3))&gt;0,0,+MIN(AH180,+X180*2*AK$1)-(AL180*(1+'Factors &amp; Percentages'!B$3)))</f>
        <v>0</v>
      </c>
      <c r="AJ180" s="26">
        <f t="shared" si="36"/>
        <v>27102.400000000001</v>
      </c>
      <c r="AK180" s="51"/>
      <c r="AL180" s="52">
        <v>24000</v>
      </c>
    </row>
    <row r="181" spans="1:38" x14ac:dyDescent="0.25">
      <c r="A181" s="53">
        <v>130352</v>
      </c>
      <c r="B181" s="54" t="s">
        <v>209</v>
      </c>
      <c r="C181" s="54" t="s">
        <v>209</v>
      </c>
      <c r="D181" s="55" t="s">
        <v>209</v>
      </c>
      <c r="E181" s="56" t="s">
        <v>357</v>
      </c>
      <c r="F181" s="56" t="s">
        <v>361</v>
      </c>
      <c r="G181" s="64">
        <f t="shared" si="37"/>
        <v>17819.759093991044</v>
      </c>
      <c r="H181" s="64">
        <v>14671.333423581786</v>
      </c>
      <c r="I181" s="57">
        <v>19701</v>
      </c>
      <c r="J181" s="58">
        <v>20191</v>
      </c>
      <c r="K181" s="58">
        <v>21354</v>
      </c>
      <c r="L181" s="57">
        <v>37167</v>
      </c>
      <c r="M181" s="58">
        <v>50485</v>
      </c>
      <c r="N181" s="58">
        <v>53043</v>
      </c>
      <c r="O181" s="57">
        <v>0</v>
      </c>
      <c r="P181" s="58">
        <v>0</v>
      </c>
      <c r="Q181" s="58">
        <v>0</v>
      </c>
      <c r="R181" s="57">
        <v>70</v>
      </c>
      <c r="S181" s="58">
        <v>70</v>
      </c>
      <c r="T181" s="58">
        <v>119</v>
      </c>
      <c r="U181" s="59">
        <f t="shared" si="38"/>
        <v>19708</v>
      </c>
      <c r="V181" s="59">
        <f t="shared" si="39"/>
        <v>37167</v>
      </c>
      <c r="W181" s="59">
        <f>SUM(U181*'Factors &amp; Percentages'!$E$6+V181*'Factors &amp; Percentages'!$E$7)</f>
        <v>4480.6559299185301</v>
      </c>
      <c r="X181" s="60">
        <v>0.25</v>
      </c>
      <c r="Y181" s="59">
        <f>X181*'Factors &amp; Percentages'!$E$10</f>
        <v>3540.2423215774024</v>
      </c>
      <c r="Z181" s="61">
        <v>3.3716805804685286E-2</v>
      </c>
      <c r="AA181" s="59">
        <f>+'Factors &amp; Percentages'!E$13*Z181</f>
        <v>5619.7199918385295</v>
      </c>
      <c r="AB181" s="62">
        <v>20</v>
      </c>
      <c r="AC181" s="85">
        <v>29</v>
      </c>
      <c r="AD181" s="63">
        <v>3449</v>
      </c>
      <c r="AE181" s="59">
        <f>AB181*'Factors &amp; Percentages'!$E$16+AC181*'Factors &amp; Percentages'!$E$17+AD181*'Factors &amp; Percentages'!$E$18</f>
        <v>4179.140850656584</v>
      </c>
      <c r="AF181" s="59">
        <f t="shared" si="40"/>
        <v>17819.759093991044</v>
      </c>
      <c r="AG181" s="65">
        <f t="shared" si="41"/>
        <v>17819.759093991044</v>
      </c>
      <c r="AH181" s="64">
        <f>IF($AL181&gt;$AF181,$AL181*(1+'Factors &amp; Percentages'!$B$3),
IF($AF181&gt;$AG181,$AG181,
IF($AF181&gt;$BOJ181,$AF181,
$AL181*(1+'Factors &amp; Percentages'!$B$3))))</f>
        <v>17819.759093991044</v>
      </c>
      <c r="AI181" s="64">
        <f>IF(+MIN(AH181,+X181*2*AK$1)-(AL181*(1+'Factors &amp; Percentages'!B$3))&gt;0,0,+MIN(AH181,+X181*2*AK$1)-(AL181*(1+'Factors &amp; Percentages'!B$3)))</f>
        <v>0</v>
      </c>
      <c r="AJ181" s="64">
        <f t="shared" si="36"/>
        <v>17819.759093991044</v>
      </c>
      <c r="AK181" s="65"/>
      <c r="AL181" s="66">
        <v>14148</v>
      </c>
    </row>
    <row r="182" spans="1:38" hidden="1" x14ac:dyDescent="0.25">
      <c r="A182" s="39">
        <v>130154</v>
      </c>
      <c r="B182" s="40" t="s">
        <v>166</v>
      </c>
      <c r="C182" s="40" t="s">
        <v>166</v>
      </c>
      <c r="D182" s="41" t="s">
        <v>166</v>
      </c>
      <c r="E182" s="42" t="s">
        <v>356</v>
      </c>
      <c r="F182" s="42" t="s">
        <v>358</v>
      </c>
      <c r="G182" s="26">
        <f t="shared" si="37"/>
        <v>18179.13271655592</v>
      </c>
      <c r="H182" s="26">
        <v>16606.695468526385</v>
      </c>
      <c r="I182" s="43">
        <v>23741</v>
      </c>
      <c r="J182" s="44">
        <v>25093</v>
      </c>
      <c r="K182" s="44">
        <v>14858</v>
      </c>
      <c r="L182" s="43">
        <v>29598</v>
      </c>
      <c r="M182" s="44">
        <v>31301</v>
      </c>
      <c r="N182" s="44">
        <v>14232</v>
      </c>
      <c r="O182" s="43">
        <v>11771</v>
      </c>
      <c r="P182" s="44">
        <v>9750</v>
      </c>
      <c r="Q182" s="44">
        <v>9750</v>
      </c>
      <c r="R182" s="43">
        <v>8217</v>
      </c>
      <c r="S182" s="44">
        <v>0</v>
      </c>
      <c r="T182" s="44">
        <v>750</v>
      </c>
      <c r="U182" s="45">
        <f t="shared" si="38"/>
        <v>24562.7</v>
      </c>
      <c r="V182" s="45">
        <f t="shared" si="39"/>
        <v>30775.1</v>
      </c>
      <c r="W182" s="45">
        <f>SUM(U182*'Factors &amp; Percentages'!$E$6+V182*'Factors &amp; Percentages'!$E$7)</f>
        <v>4493.6068963729831</v>
      </c>
      <c r="X182" s="46">
        <v>0.1</v>
      </c>
      <c r="Y182" s="45">
        <f>X182*'Factors &amp; Percentages'!$E$10</f>
        <v>1416.096928630961</v>
      </c>
      <c r="Z182" s="47">
        <v>4.2047193770287768E-2</v>
      </c>
      <c r="AA182" s="45">
        <f>+'Factors &amp; Percentages'!E$13*Z182</f>
        <v>7008.1803359545793</v>
      </c>
      <c r="AB182" s="48">
        <v>21</v>
      </c>
      <c r="AC182" s="49">
        <v>60</v>
      </c>
      <c r="AD182" s="50">
        <v>4186</v>
      </c>
      <c r="AE182" s="45">
        <f>AB182*'Factors &amp; Percentages'!$E$16+AC182*'Factors &amp; Percentages'!$E$17+AD182*'Factors &amp; Percentages'!$E$18</f>
        <v>5261.2485555973944</v>
      </c>
      <c r="AF182" s="45">
        <f t="shared" si="40"/>
        <v>18179.13271655592</v>
      </c>
      <c r="AG182" s="51">
        <f t="shared" si="41"/>
        <v>18179.13271655592</v>
      </c>
      <c r="AH182" s="26">
        <f>IF($AL182&gt;$AF182,$AL182*(1+'Factors &amp; Percentages'!$B$3),
IF($AF182&gt;$AG182,$AG182,
IF($AF182&gt;$BOJ182,$AF182,
$AL182*(1+'Factors &amp; Percentages'!$B$3))))</f>
        <v>18179.13271655592</v>
      </c>
      <c r="AI182" s="26">
        <f>IF(+MIN(AH182,+X182*2*AK$1)-(AL182*(1+'Factors &amp; Percentages'!B$3))&gt;0,0,+MIN(AH182,+X182*2*AK$1)-(AL182*(1+'Factors &amp; Percentages'!B$3)))</f>
        <v>0</v>
      </c>
      <c r="AJ182" s="26">
        <f t="shared" si="36"/>
        <v>18179.13271655592</v>
      </c>
      <c r="AK182" s="51"/>
      <c r="AL182" s="52">
        <v>11076</v>
      </c>
    </row>
    <row r="183" spans="1:38" hidden="1" x14ac:dyDescent="0.25">
      <c r="A183" s="53">
        <v>130295</v>
      </c>
      <c r="B183" s="54" t="s">
        <v>170</v>
      </c>
      <c r="C183" s="54" t="s">
        <v>170</v>
      </c>
      <c r="D183" s="55" t="s">
        <v>170</v>
      </c>
      <c r="E183" s="56" t="s">
        <v>237</v>
      </c>
      <c r="F183" s="56" t="s">
        <v>239</v>
      </c>
      <c r="G183" s="64">
        <f t="shared" si="37"/>
        <v>15109.435332034091</v>
      </c>
      <c r="H183" s="64">
        <v>12118.724506355104</v>
      </c>
      <c r="I183" s="57">
        <v>8583</v>
      </c>
      <c r="J183" s="58">
        <v>8286</v>
      </c>
      <c r="K183" s="58">
        <v>5574</v>
      </c>
      <c r="L183" s="57">
        <v>80150</v>
      </c>
      <c r="M183" s="58">
        <v>78054</v>
      </c>
      <c r="N183" s="58">
        <v>70446</v>
      </c>
      <c r="O183" s="57">
        <v>16013</v>
      </c>
      <c r="P183" s="58">
        <v>14598</v>
      </c>
      <c r="Q183" s="58">
        <v>15485</v>
      </c>
      <c r="R183" s="57">
        <v>1435</v>
      </c>
      <c r="S183" s="58">
        <v>2193</v>
      </c>
      <c r="T183" s="58">
        <v>1930</v>
      </c>
      <c r="U183" s="59">
        <f t="shared" si="38"/>
        <v>8726.5</v>
      </c>
      <c r="V183" s="59">
        <f t="shared" si="39"/>
        <v>81751.3</v>
      </c>
      <c r="W183" s="59">
        <f>SUM(U183*'Factors &amp; Percentages'!$E$6+V183*'Factors &amp; Percentages'!$E$7)</f>
        <v>6564.9276417312158</v>
      </c>
      <c r="X183" s="60">
        <v>0.17</v>
      </c>
      <c r="Y183" s="59">
        <f>X183*'Factors &amp; Percentages'!$E$10</f>
        <v>2407.3647786726337</v>
      </c>
      <c r="Z183" s="61">
        <v>2.564168312008E-2</v>
      </c>
      <c r="AA183" s="59">
        <f>+'Factors &amp; Percentages'!E$13*Z183</f>
        <v>4273.8057717874963</v>
      </c>
      <c r="AB183" s="62">
        <v>8</v>
      </c>
      <c r="AC183" s="85">
        <v>30</v>
      </c>
      <c r="AD183" s="63">
        <v>130</v>
      </c>
      <c r="AE183" s="59">
        <f>AB183*'Factors &amp; Percentages'!$E$16+AC183*'Factors &amp; Percentages'!$E$17+AD183*'Factors &amp; Percentages'!$E$18</f>
        <v>1863.3371398427439</v>
      </c>
      <c r="AF183" s="59">
        <f t="shared" si="40"/>
        <v>15109.435332034091</v>
      </c>
      <c r="AG183" s="65">
        <f t="shared" si="41"/>
        <v>15109.435332034091</v>
      </c>
      <c r="AH183" s="64">
        <f>IF($AL183&gt;$AF183,$AL183*(1+'Factors &amp; Percentages'!$B$3),
IF($AF183&gt;$AG183,$AG183,
IF($AF183&gt;$BOJ183,$AF183,
$AL183*(1+'Factors &amp; Percentages'!$B$3))))</f>
        <v>15109.435332034091</v>
      </c>
      <c r="AI183" s="64">
        <f>IF(+MIN(AH183,+X183*2*AK$1)-(AL183*(1+'Factors &amp; Percentages'!B$3))&gt;0,0,+MIN(AH183,+X183*2*AK$1)-(AL183*(1+'Factors &amp; Percentages'!B$3)))</f>
        <v>0</v>
      </c>
      <c r="AJ183" s="64">
        <f t="shared" si="36"/>
        <v>15109.435332034091</v>
      </c>
      <c r="AK183" s="65"/>
      <c r="AL183" s="66">
        <v>1080</v>
      </c>
    </row>
    <row r="184" spans="1:38" hidden="1" x14ac:dyDescent="0.25">
      <c r="A184" s="39">
        <v>130296</v>
      </c>
      <c r="B184" s="40" t="s">
        <v>171</v>
      </c>
      <c r="C184" s="40" t="s">
        <v>171</v>
      </c>
      <c r="D184" s="41" t="s">
        <v>171</v>
      </c>
      <c r="E184" s="42" t="s">
        <v>237</v>
      </c>
      <c r="F184" s="42" t="s">
        <v>237</v>
      </c>
      <c r="G184" s="26">
        <f t="shared" si="37"/>
        <v>11719.5</v>
      </c>
      <c r="H184" s="26">
        <v>10363.660825566618</v>
      </c>
      <c r="I184" s="43">
        <v>18030</v>
      </c>
      <c r="J184" s="44">
        <v>16809</v>
      </c>
      <c r="K184" s="44">
        <v>17039</v>
      </c>
      <c r="L184" s="43">
        <v>15269</v>
      </c>
      <c r="M184" s="44">
        <v>14575</v>
      </c>
      <c r="N184" s="44">
        <v>12350</v>
      </c>
      <c r="O184" s="43">
        <v>28014</v>
      </c>
      <c r="P184" s="44">
        <v>19059</v>
      </c>
      <c r="Q184" s="44">
        <v>17192</v>
      </c>
      <c r="R184" s="43">
        <v>4583</v>
      </c>
      <c r="S184" s="44">
        <v>0</v>
      </c>
      <c r="T184" s="44">
        <v>178</v>
      </c>
      <c r="U184" s="45">
        <f t="shared" si="38"/>
        <v>18488.3</v>
      </c>
      <c r="V184" s="45">
        <f t="shared" si="39"/>
        <v>18070.400000000001</v>
      </c>
      <c r="W184" s="45">
        <f>SUM(U184*'Factors &amp; Percentages'!$E$6+V184*'Factors &amp; Percentages'!$E$7)</f>
        <v>3024.9450008341837</v>
      </c>
      <c r="X184" s="46">
        <v>0.25</v>
      </c>
      <c r="Y184" s="45">
        <f>X184*'Factors &amp; Percentages'!$E$10</f>
        <v>3540.2423215774024</v>
      </c>
      <c r="Z184" s="47">
        <v>2.7143376744640541E-2</v>
      </c>
      <c r="AA184" s="45">
        <f>+'Factors &amp; Percentages'!E$13*Z184</f>
        <v>4524.099282164646</v>
      </c>
      <c r="AB184" s="48">
        <v>10</v>
      </c>
      <c r="AC184" s="49">
        <v>19</v>
      </c>
      <c r="AD184" s="50">
        <v>2488</v>
      </c>
      <c r="AE184" s="45">
        <f>AB184*'Factors &amp; Percentages'!$E$16+AC184*'Factors &amp; Percentages'!$E$17+AD184*'Factors &amp; Percentages'!$E$18</f>
        <v>2371.4913793555115</v>
      </c>
      <c r="AF184" s="45">
        <f t="shared" si="40"/>
        <v>13460.777983931743</v>
      </c>
      <c r="AG184" s="51">
        <f t="shared" si="41"/>
        <v>11719.5</v>
      </c>
      <c r="AH184" s="26">
        <f>IF($AL184&gt;$AF184,$AL184*(1+'Factors &amp; Percentages'!$B$3),
IF($AF184&gt;$AG184,$AG184,
IF($AF184&gt;$BOJ184,$AF184,
$AL184*(1+'Factors &amp; Percentages'!$B$3))))</f>
        <v>11719.5</v>
      </c>
      <c r="AI184" s="26">
        <f>IF(+MIN(AH184,+X184*2*AK$1)-(AL184*(1+'Factors &amp; Percentages'!B$3))&gt;0,0,+MIN(AH184,+X184*2*AK$1)-(AL184*(1+'Factors &amp; Percentages'!B$3)))</f>
        <v>0</v>
      </c>
      <c r="AJ184" s="26">
        <f t="shared" si="36"/>
        <v>11719.5</v>
      </c>
      <c r="AK184" s="51"/>
      <c r="AL184" s="52">
        <v>7000</v>
      </c>
    </row>
    <row r="185" spans="1:38" hidden="1" x14ac:dyDescent="0.25">
      <c r="A185" s="53">
        <v>130203</v>
      </c>
      <c r="B185" s="54" t="s">
        <v>21</v>
      </c>
      <c r="C185" s="54" t="s">
        <v>21</v>
      </c>
      <c r="D185" s="55" t="s">
        <v>21</v>
      </c>
      <c r="E185" s="56" t="s">
        <v>237</v>
      </c>
      <c r="F185" s="56" t="s">
        <v>237</v>
      </c>
      <c r="G185" s="64">
        <f t="shared" si="37"/>
        <v>17954.138298643655</v>
      </c>
      <c r="H185" s="64">
        <v>17738.5</v>
      </c>
      <c r="I185" s="57">
        <v>29143</v>
      </c>
      <c r="J185" s="58">
        <v>27290</v>
      </c>
      <c r="K185" s="58">
        <v>33511</v>
      </c>
      <c r="L185" s="57">
        <v>6038</v>
      </c>
      <c r="M185" s="58">
        <v>6144</v>
      </c>
      <c r="N185" s="58">
        <v>2618</v>
      </c>
      <c r="O185" s="57">
        <v>5817</v>
      </c>
      <c r="P185" s="58">
        <v>13569</v>
      </c>
      <c r="Q185" s="58">
        <v>12431</v>
      </c>
      <c r="R185" s="57">
        <v>0</v>
      </c>
      <c r="S185" s="58">
        <v>124</v>
      </c>
      <c r="T185" s="58">
        <v>12431</v>
      </c>
      <c r="U185" s="59">
        <f t="shared" si="38"/>
        <v>29143</v>
      </c>
      <c r="V185" s="59">
        <f t="shared" si="39"/>
        <v>6619.7</v>
      </c>
      <c r="W185" s="59">
        <f>SUM(U185*'Factors &amp; Percentages'!$E$6+V185*'Factors &amp; Percentages'!$E$7)</f>
        <v>3234.2178150567429</v>
      </c>
      <c r="X185" s="60">
        <v>0.25</v>
      </c>
      <c r="Y185" s="59">
        <f>X185*'Factors &amp; Percentages'!$E$10</f>
        <v>3540.2423215774024</v>
      </c>
      <c r="Z185" s="61">
        <v>4.380930684914703E-2</v>
      </c>
      <c r="AA185" s="59">
        <f>+'Factors &amp; Percentages'!E$13*Z185</f>
        <v>7301.8790378573995</v>
      </c>
      <c r="AB185" s="62">
        <v>18</v>
      </c>
      <c r="AC185" s="85">
        <v>39</v>
      </c>
      <c r="AD185" s="63">
        <v>2147</v>
      </c>
      <c r="AE185" s="59">
        <f>AB185*'Factors &amp; Percentages'!$E$16+AC185*'Factors &amp; Percentages'!$E$17+AD185*'Factors &amp; Percentages'!$E$18</f>
        <v>3877.7991241521113</v>
      </c>
      <c r="AF185" s="59">
        <f t="shared" si="40"/>
        <v>17954.138298643655</v>
      </c>
      <c r="AG185" s="65">
        <f t="shared" si="41"/>
        <v>17954.138298643655</v>
      </c>
      <c r="AH185" s="64">
        <f>IF($AL185&gt;$AF185,$AL185*(1+'Factors &amp; Percentages'!$B$3),
IF($AF185&gt;$AG185,$AG185,
IF($AF185&gt;$BOJ185,$AF185,
$AL185*(1+'Factors &amp; Percentages'!$B$3))))</f>
        <v>17954.138298643655</v>
      </c>
      <c r="AI185" s="64">
        <f>IF(+MIN(AH185,+X185*2*AK$1)-(AL185*(1+'Factors &amp; Percentages'!B$3))&gt;0,0,+MIN(AH185,+X185*2*AK$1)-(AL185*(1+'Factors &amp; Percentages'!B$3)))</f>
        <v>0</v>
      </c>
      <c r="AJ185" s="64">
        <f t="shared" si="36"/>
        <v>17954.138298643655</v>
      </c>
      <c r="AK185" s="65"/>
      <c r="AL185" s="66">
        <v>14000</v>
      </c>
    </row>
    <row r="186" spans="1:38" hidden="1" x14ac:dyDescent="0.25">
      <c r="A186" s="39">
        <v>130204</v>
      </c>
      <c r="B186" s="40" t="s">
        <v>446</v>
      </c>
      <c r="C186" s="40" t="s">
        <v>22</v>
      </c>
      <c r="D186" s="41" t="s">
        <v>22</v>
      </c>
      <c r="E186" s="42" t="s">
        <v>237</v>
      </c>
      <c r="F186" s="42" t="s">
        <v>237</v>
      </c>
      <c r="G186" s="26">
        <f t="shared" si="37"/>
        <v>25551.031149570146</v>
      </c>
      <c r="H186" s="26">
        <v>20496.245804569582</v>
      </c>
      <c r="I186" s="43">
        <v>41952</v>
      </c>
      <c r="J186" s="44">
        <v>41952</v>
      </c>
      <c r="K186" s="44">
        <v>49657</v>
      </c>
      <c r="L186" s="43">
        <v>1864</v>
      </c>
      <c r="M186" s="44">
        <v>1864</v>
      </c>
      <c r="N186" s="44">
        <v>2407</v>
      </c>
      <c r="O186" s="43">
        <v>25102</v>
      </c>
      <c r="P186" s="44">
        <v>25102</v>
      </c>
      <c r="Q186" s="44">
        <v>35162</v>
      </c>
      <c r="R186" s="43">
        <v>0</v>
      </c>
      <c r="S186" s="44">
        <v>0</v>
      </c>
      <c r="T186" s="44">
        <v>0</v>
      </c>
      <c r="U186" s="45">
        <f t="shared" si="38"/>
        <v>41952</v>
      </c>
      <c r="V186" s="45">
        <f t="shared" si="39"/>
        <v>4374.2000000000007</v>
      </c>
      <c r="W186" s="45">
        <f>SUM(U186*'Factors &amp; Percentages'!$E$6+V186*'Factors &amp; Percentages'!$E$7)</f>
        <v>4294.0612930596526</v>
      </c>
      <c r="X186" s="46">
        <v>0.5</v>
      </c>
      <c r="Y186" s="45">
        <f>X186*'Factors &amp; Percentages'!$E$10</f>
        <v>7080.4846431548049</v>
      </c>
      <c r="Z186" s="47">
        <v>3.5535213619936674E-2</v>
      </c>
      <c r="AA186" s="45">
        <f>+'Factors &amp; Percentages'!E$13*Z186</f>
        <v>5922.8015711518228</v>
      </c>
      <c r="AB186" s="48">
        <v>35</v>
      </c>
      <c r="AC186" s="49">
        <v>76</v>
      </c>
      <c r="AD186" s="50">
        <v>7401</v>
      </c>
      <c r="AE186" s="45">
        <f>AB186*'Factors &amp; Percentages'!$E$16+AC186*'Factors &amp; Percentages'!$E$17+AD186*'Factors &amp; Percentages'!$E$18</f>
        <v>8253.683642203865</v>
      </c>
      <c r="AF186" s="45">
        <f t="shared" si="40"/>
        <v>25551.031149570146</v>
      </c>
      <c r="AG186" s="51">
        <f t="shared" si="41"/>
        <v>25551.031149570146</v>
      </c>
      <c r="AH186" s="26">
        <f>IF($AL186&gt;$AF186,$AL186*(1+'Factors &amp; Percentages'!$B$3),
IF($AF186&gt;$AG186,$AG186,
IF($AF186&gt;$BOJ186,$AF186,
$AL186*(1+'Factors &amp; Percentages'!$B$3))))</f>
        <v>25551.031149570146</v>
      </c>
      <c r="AI186" s="26">
        <f>IF(+MIN(AH186,+X186*2*AK$1)-(AL186*(1+'Factors &amp; Percentages'!B$3))&gt;0,0,+MIN(AH186,+X186*2*AK$1)-(AL186*(1+'Factors &amp; Percentages'!B$3)))</f>
        <v>0</v>
      </c>
      <c r="AJ186" s="26">
        <f t="shared" si="36"/>
        <v>25551.031149570146</v>
      </c>
      <c r="AK186" s="51"/>
      <c r="AL186" s="52">
        <v>20000</v>
      </c>
    </row>
    <row r="187" spans="1:38" hidden="1" x14ac:dyDescent="0.25">
      <c r="A187" s="53">
        <v>130278</v>
      </c>
      <c r="B187" s="54" t="s">
        <v>350</v>
      </c>
      <c r="C187" s="54" t="s">
        <v>350</v>
      </c>
      <c r="D187" s="55" t="s">
        <v>187</v>
      </c>
      <c r="E187" s="56" t="s">
        <v>237</v>
      </c>
      <c r="F187" s="56" t="s">
        <v>238</v>
      </c>
      <c r="G187" s="64">
        <f t="shared" si="37"/>
        <v>86427.71186566641</v>
      </c>
      <c r="H187" s="64">
        <v>81852.75</v>
      </c>
      <c r="I187" s="57">
        <v>181783</v>
      </c>
      <c r="J187" s="58">
        <v>156806</v>
      </c>
      <c r="K187" s="58">
        <v>152484</v>
      </c>
      <c r="L187" s="57">
        <v>151166</v>
      </c>
      <c r="M187" s="58">
        <v>110050</v>
      </c>
      <c r="N187" s="58">
        <v>143565</v>
      </c>
      <c r="O187" s="57">
        <v>58072</v>
      </c>
      <c r="P187" s="58">
        <v>117755</v>
      </c>
      <c r="Q187" s="58">
        <v>127000</v>
      </c>
      <c r="R187" s="57">
        <v>13986</v>
      </c>
      <c r="S187" s="58">
        <v>24346</v>
      </c>
      <c r="T187" s="58">
        <v>25912</v>
      </c>
      <c r="U187" s="59">
        <f t="shared" si="38"/>
        <v>183181.6</v>
      </c>
      <c r="V187" s="59">
        <f t="shared" si="39"/>
        <v>156973.20000000001</v>
      </c>
      <c r="W187" s="59">
        <f>SUM(U187*'Factors &amp; Percentages'!$E$6+V187*'Factors &amp; Percentages'!$E$7)</f>
        <v>28422.829099212231</v>
      </c>
      <c r="X187" s="60">
        <v>1.5</v>
      </c>
      <c r="Y187" s="59">
        <f>X187*'Factors &amp; Percentages'!$E$10</f>
        <v>21241.453929464413</v>
      </c>
      <c r="Z187" s="61">
        <v>4.0767738042822431E-2</v>
      </c>
      <c r="AA187" s="59">
        <f>+'Factors &amp; Percentages'!E$13*Z187</f>
        <v>6794.9281384611231</v>
      </c>
      <c r="AB187" s="62">
        <v>168</v>
      </c>
      <c r="AC187" s="85">
        <v>159</v>
      </c>
      <c r="AD187" s="63">
        <v>15363</v>
      </c>
      <c r="AE187" s="59">
        <f>AB187*'Factors &amp; Percentages'!$E$16+AC187*'Factors &amp; Percentages'!$E$17+AD187*'Factors &amp; Percentages'!$E$18</f>
        <v>29968.500698528642</v>
      </c>
      <c r="AF187" s="59">
        <f t="shared" si="40"/>
        <v>86427.71186566641</v>
      </c>
      <c r="AG187" s="65">
        <f t="shared" si="41"/>
        <v>86427.71186566641</v>
      </c>
      <c r="AH187" s="64">
        <f>IF($AL187&gt;$AF187,$AL187*(1+'Factors &amp; Percentages'!$B$3),
IF($AF187&gt;$AG187,$AG187,
IF($AF187&gt;$BOJ187,$AF187,
$AL187*(1+'Factors &amp; Percentages'!$B$3))))</f>
        <v>86427.71186566641</v>
      </c>
      <c r="AI187" s="64">
        <f>IF(+MIN(AH187,+X187*2*AK$1)-(AL187*(1+'Factors &amp; Percentages'!B$3))&gt;0,0,+MIN(AH187,+X187*2*AK$1)-(AL187*(1+'Factors &amp; Percentages'!B$3)))</f>
        <v>0</v>
      </c>
      <c r="AJ187" s="64">
        <f t="shared" si="36"/>
        <v>86427.71186566641</v>
      </c>
      <c r="AK187" s="65"/>
      <c r="AL187" s="66">
        <v>81220</v>
      </c>
    </row>
    <row r="188" spans="1:38" hidden="1" x14ac:dyDescent="0.25">
      <c r="A188" s="39">
        <v>130035</v>
      </c>
      <c r="B188" s="40" t="s">
        <v>447</v>
      </c>
      <c r="C188" s="40" t="s">
        <v>92</v>
      </c>
      <c r="D188" s="41" t="s">
        <v>92</v>
      </c>
      <c r="E188" s="42" t="s">
        <v>356</v>
      </c>
      <c r="F188" s="42" t="s">
        <v>356</v>
      </c>
      <c r="G188" s="26">
        <f t="shared" si="37"/>
        <v>14275.800000000001</v>
      </c>
      <c r="H188" s="26">
        <v>14553</v>
      </c>
      <c r="I188" s="43">
        <v>19260</v>
      </c>
      <c r="J188" s="44">
        <v>18360</v>
      </c>
      <c r="K188" s="44">
        <v>20363</v>
      </c>
      <c r="L188" s="43">
        <v>4813</v>
      </c>
      <c r="M188" s="44">
        <v>7907</v>
      </c>
      <c r="N188" s="44">
        <v>10946</v>
      </c>
      <c r="O188" s="43">
        <v>4335</v>
      </c>
      <c r="P188" s="44">
        <v>3748</v>
      </c>
      <c r="Q188" s="44">
        <v>814</v>
      </c>
      <c r="R188" s="43">
        <v>587</v>
      </c>
      <c r="S188" s="44">
        <v>0</v>
      </c>
      <c r="T188" s="44">
        <v>120</v>
      </c>
      <c r="U188" s="45">
        <f t="shared" si="38"/>
        <v>19318.7</v>
      </c>
      <c r="V188" s="45">
        <f t="shared" si="39"/>
        <v>5246.5</v>
      </c>
      <c r="W188" s="45">
        <f>SUM(U188*'Factors &amp; Percentages'!$E$6+V188*'Factors &amp; Percentages'!$E$7)</f>
        <v>2204.1615959035585</v>
      </c>
      <c r="X188" s="46">
        <v>0.33333333333333331</v>
      </c>
      <c r="Y188" s="45">
        <f>X188*'Factors &amp; Percentages'!$E$10</f>
        <v>4720.3230954365363</v>
      </c>
      <c r="Z188" s="47">
        <v>3.3766900333616977E-2</v>
      </c>
      <c r="AA188" s="45">
        <f>+'Factors &amp; Percentages'!E$13*Z188</f>
        <v>5628.069454932689</v>
      </c>
      <c r="AB188" s="48">
        <v>8</v>
      </c>
      <c r="AC188" s="49">
        <v>27</v>
      </c>
      <c r="AD188" s="50">
        <v>4836</v>
      </c>
      <c r="AE188" s="45">
        <f>AB188*'Factors &amp; Percentages'!$E$16+AC188*'Factors &amp; Percentages'!$E$17+AD188*'Factors &amp; Percentages'!$E$18</f>
        <v>2821.9024696072302</v>
      </c>
      <c r="AF188" s="45">
        <f t="shared" si="40"/>
        <v>15374.456615880013</v>
      </c>
      <c r="AG188" s="51">
        <f t="shared" si="41"/>
        <v>12519</v>
      </c>
      <c r="AH188" s="26">
        <f>IF($AL188&gt;$AF188,$AL188*(1+'Factors &amp; Percentages'!$B$3),
IF($AF188&gt;$AG188,$AG188,
IF($AF188&gt;$BOJ188,$AF188,
$AL188*(1+'Factors &amp; Percentages'!$B$3))))</f>
        <v>12519</v>
      </c>
      <c r="AI188" s="26">
        <f>IF(+MIN(AH188,+X188*2*AK$1)-(AL188*(1+'Factors &amp; Percentages'!B$3))&gt;0,0,+MIN(AH188,+X188*2*AK$1)-(AL188*(1+'Factors &amp; Percentages'!B$3)))</f>
        <v>-1756.8000000000011</v>
      </c>
      <c r="AJ188" s="26">
        <f t="shared" si="36"/>
        <v>14275.800000000001</v>
      </c>
      <c r="AK188" s="51"/>
      <c r="AL188" s="52">
        <v>13860</v>
      </c>
    </row>
    <row r="189" spans="1:38" x14ac:dyDescent="0.25">
      <c r="A189" s="70">
        <v>130011</v>
      </c>
      <c r="B189" s="54" t="s">
        <v>351</v>
      </c>
      <c r="C189" s="54" t="s">
        <v>351</v>
      </c>
      <c r="D189" s="68" t="s">
        <v>53</v>
      </c>
      <c r="E189" s="56" t="s">
        <v>357</v>
      </c>
      <c r="F189" s="56" t="s">
        <v>256</v>
      </c>
      <c r="G189" s="64">
        <f t="shared" si="37"/>
        <v>33751.25</v>
      </c>
      <c r="H189" s="64">
        <v>29873.350000000002</v>
      </c>
      <c r="I189" s="57">
        <v>51925</v>
      </c>
      <c r="J189" s="58">
        <v>45959</v>
      </c>
      <c r="K189" s="58">
        <v>58091</v>
      </c>
      <c r="L189" s="57">
        <v>22363</v>
      </c>
      <c r="M189" s="58">
        <v>20532</v>
      </c>
      <c r="N189" s="58">
        <v>21857</v>
      </c>
      <c r="O189" s="57">
        <v>39554</v>
      </c>
      <c r="P189" s="58">
        <v>23054</v>
      </c>
      <c r="Q189" s="58">
        <v>17814</v>
      </c>
      <c r="R189" s="57">
        <v>936</v>
      </c>
      <c r="S189" s="58">
        <v>13610</v>
      </c>
      <c r="T189" s="58">
        <v>6730</v>
      </c>
      <c r="U189" s="59">
        <f t="shared" si="38"/>
        <v>52018.6</v>
      </c>
      <c r="V189" s="59">
        <f t="shared" si="39"/>
        <v>26318.400000000001</v>
      </c>
      <c r="W189" s="59">
        <f>SUM(U189*'Factors &amp; Percentages'!$E$6+V189*'Factors &amp; Percentages'!$E$7)</f>
        <v>6790.3767522906255</v>
      </c>
      <c r="X189" s="60">
        <v>1</v>
      </c>
      <c r="Y189" s="59">
        <f>X189*'Factors &amp; Percentages'!$E$10</f>
        <v>14160.96928630961</v>
      </c>
      <c r="Z189" s="61">
        <v>3.0872582676776412E-2</v>
      </c>
      <c r="AA189" s="59">
        <f>+'Factors &amp; Percentages'!E$13*Z189</f>
        <v>5145.661515903721</v>
      </c>
      <c r="AB189" s="62">
        <v>36</v>
      </c>
      <c r="AC189" s="85">
        <v>63</v>
      </c>
      <c r="AD189" s="63">
        <v>14505</v>
      </c>
      <c r="AE189" s="59">
        <f>AB189*'Factors &amp; Percentages'!$E$16+AC189*'Factors &amp; Percentages'!$E$17+AD189*'Factors &amp; Percentages'!$E$18</f>
        <v>9620.2558172431982</v>
      </c>
      <c r="AF189" s="59">
        <f t="shared" si="40"/>
        <v>35717.263371747154</v>
      </c>
      <c r="AG189" s="65">
        <f t="shared" si="41"/>
        <v>33751.25</v>
      </c>
      <c r="AH189" s="64">
        <f>IF($AL189&gt;$AF189,$AL189*(1+'Factors &amp; Percentages'!$B$3),
IF($AF189&gt;$AG189,$AG189,
IF($AF189&gt;$BOJ189,$AF189,
$AL189*(1+'Factors &amp; Percentages'!$B$3))))</f>
        <v>33751.25</v>
      </c>
      <c r="AI189" s="64">
        <f>IF(+MIN(AH189,+X189*2*AK$1)-(AL189*(1+'Factors &amp; Percentages'!B$3))&gt;0,0,+MIN(AH189,+X189*2*AK$1)-(AL189*(1+'Factors &amp; Percentages'!B$3)))</f>
        <v>0</v>
      </c>
      <c r="AJ189" s="64">
        <f t="shared" si="36"/>
        <v>33751.25</v>
      </c>
      <c r="AK189" s="65"/>
      <c r="AL189" s="66">
        <v>23000</v>
      </c>
    </row>
    <row r="190" spans="1:38" hidden="1" x14ac:dyDescent="0.25">
      <c r="A190" s="39">
        <v>137010</v>
      </c>
      <c r="B190" s="40"/>
      <c r="C190" s="40"/>
      <c r="D190" s="41" t="s">
        <v>210</v>
      </c>
      <c r="E190" s="42" t="s">
        <v>237</v>
      </c>
      <c r="F190" s="42" t="s">
        <v>238</v>
      </c>
      <c r="G190" s="26">
        <f t="shared" si="37"/>
        <v>22959.742934986665</v>
      </c>
      <c r="H190" s="26">
        <v>38596.650682585787</v>
      </c>
      <c r="I190" s="43">
        <v>20581</v>
      </c>
      <c r="J190" s="44">
        <v>24168</v>
      </c>
      <c r="K190" s="44">
        <v>13119</v>
      </c>
      <c r="L190" s="43">
        <v>43938</v>
      </c>
      <c r="M190" s="44">
        <v>38560</v>
      </c>
      <c r="N190" s="44">
        <v>38560</v>
      </c>
      <c r="O190" s="43">
        <v>0</v>
      </c>
      <c r="P190" s="44">
        <v>0</v>
      </c>
      <c r="Q190" s="44">
        <v>0</v>
      </c>
      <c r="R190" s="43">
        <v>0</v>
      </c>
      <c r="S190" s="44">
        <v>0</v>
      </c>
      <c r="T190" s="44">
        <v>0</v>
      </c>
      <c r="U190" s="45">
        <f t="shared" si="38"/>
        <v>20581</v>
      </c>
      <c r="V190" s="45">
        <f t="shared" si="39"/>
        <v>43938</v>
      </c>
      <c r="W190" s="45">
        <f>SUM(U190*'Factors &amp; Percentages'!$E$6+V190*'Factors &amp; Percentages'!$E$7)</f>
        <v>5038.6702888009249</v>
      </c>
      <c r="X190" s="46">
        <v>1</v>
      </c>
      <c r="Y190" s="45">
        <f>X190*'Factors &amp; Percentages'!$E$10</f>
        <v>14160.96928630961</v>
      </c>
      <c r="Z190" s="71"/>
      <c r="AA190" s="45">
        <f>+'Factors &amp; Percentages'!E$13*Z190</f>
        <v>0</v>
      </c>
      <c r="AB190" s="48">
        <v>28</v>
      </c>
      <c r="AC190" s="49">
        <v>0</v>
      </c>
      <c r="AD190" s="50"/>
      <c r="AE190" s="45">
        <f>AB190*'Factors &amp; Percentages'!$E$16+AC190*'Factors &amp; Percentages'!$E$17+AD190*'Factors &amp; Percentages'!$E$18</f>
        <v>3760.103359876131</v>
      </c>
      <c r="AF190" s="45">
        <f t="shared" si="40"/>
        <v>22959.742934986665</v>
      </c>
      <c r="AG190" s="51">
        <f t="shared" si="41"/>
        <v>22959.742934986665</v>
      </c>
      <c r="AH190" s="26">
        <f>IF($AL190&gt;$AF190,$AL190*(1+'Factors &amp; Percentages'!$B$3),
IF($AF190&gt;$AG190,$AG190,
IF($AF190&gt;$BOJ190,$AF190,
$AL190*(1+'Factors &amp; Percentages'!$B$3))))</f>
        <v>22959.742934986665</v>
      </c>
      <c r="AI190" s="26">
        <f>IF(+MIN(AH190,+X190*2*AK$1)-(AL190*(1+'Factors &amp; Percentages'!B$3))&gt;0,0,+MIN(AH190,+X190*2*AK$1)-(AL190*(1+'Factors &amp; Percentages'!B$3)))</f>
        <v>0</v>
      </c>
      <c r="AJ190" s="26">
        <f t="shared" si="36"/>
        <v>22959.742934986665</v>
      </c>
      <c r="AK190" s="51"/>
      <c r="AL190" s="52">
        <v>5429</v>
      </c>
    </row>
    <row r="191" spans="1:38" x14ac:dyDescent="0.25">
      <c r="A191" s="53">
        <v>130013</v>
      </c>
      <c r="B191" s="54" t="s">
        <v>54</v>
      </c>
      <c r="C191" s="54" t="s">
        <v>54</v>
      </c>
      <c r="D191" s="68" t="s">
        <v>54</v>
      </c>
      <c r="E191" s="56" t="s">
        <v>357</v>
      </c>
      <c r="F191" s="56" t="s">
        <v>256</v>
      </c>
      <c r="G191" s="64">
        <f t="shared" si="37"/>
        <v>64047.46</v>
      </c>
      <c r="H191" s="64">
        <v>65291.100000000006</v>
      </c>
      <c r="I191" s="57">
        <v>107123</v>
      </c>
      <c r="J191" s="58">
        <v>85475</v>
      </c>
      <c r="K191" s="58">
        <v>85528</v>
      </c>
      <c r="L191" s="57">
        <v>85582</v>
      </c>
      <c r="M191" s="58">
        <v>89569</v>
      </c>
      <c r="N191" s="58">
        <v>103039</v>
      </c>
      <c r="O191" s="57">
        <v>690</v>
      </c>
      <c r="P191" s="58">
        <v>838</v>
      </c>
      <c r="Q191" s="58">
        <v>686</v>
      </c>
      <c r="R191" s="57">
        <v>575</v>
      </c>
      <c r="S191" s="58">
        <v>152</v>
      </c>
      <c r="T191" s="58">
        <v>150</v>
      </c>
      <c r="U191" s="59">
        <f t="shared" si="38"/>
        <v>107180.5</v>
      </c>
      <c r="V191" s="59">
        <f t="shared" si="39"/>
        <v>85651</v>
      </c>
      <c r="W191" s="59">
        <f>SUM(U191*'Factors &amp; Percentages'!$E$6+V191*'Factors &amp; Percentages'!$E$7)</f>
        <v>16195.724028541183</v>
      </c>
      <c r="X191" s="60">
        <v>1</v>
      </c>
      <c r="Y191" s="59">
        <f>X191*'Factors &amp; Percentages'!$E$10</f>
        <v>14160.96928630961</v>
      </c>
      <c r="Z191" s="61">
        <v>3.4736333857851978E-2</v>
      </c>
      <c r="AA191" s="59">
        <f>+'Factors &amp; Percentages'!E$13*Z191</f>
        <v>5789.6489648204515</v>
      </c>
      <c r="AB191" s="62">
        <v>88</v>
      </c>
      <c r="AC191" s="85">
        <v>149</v>
      </c>
      <c r="AD191" s="63">
        <v>19592</v>
      </c>
      <c r="AE191" s="59">
        <f>AB191*'Factors &amp; Percentages'!$E$16+AC191*'Factors &amp; Percentages'!$E$17+AD191*'Factors &amp; Percentages'!$E$18</f>
        <v>19901.609234519383</v>
      </c>
      <c r="AF191" s="59">
        <f t="shared" si="40"/>
        <v>56047.951514190623</v>
      </c>
      <c r="AG191" s="65">
        <f t="shared" si="41"/>
        <v>56047.951514190623</v>
      </c>
      <c r="AH191" s="64">
        <f>IF($AL191&gt;$AF191,$AL191*(1+'Factors &amp; Percentages'!$B$3),
IF($AF191&gt;$AG191,$AG191,
IF($AF191&gt;$BOJ191,$AF191,
$AL191*(1+'Factors &amp; Percentages'!$B$3))))</f>
        <v>64047.46</v>
      </c>
      <c r="AI191" s="64">
        <f>IF(+MIN(AH191,+X191*2*AK$1)-(AL191*(1+'Factors &amp; Percentages'!B$3))&gt;0,0,+MIN(AH191,+X191*2*AK$1)-(AL191*(1+'Factors &amp; Percentages'!B$3)))</f>
        <v>0</v>
      </c>
      <c r="AJ191" s="64">
        <f t="shared" si="36"/>
        <v>64047.46</v>
      </c>
      <c r="AK191" s="65"/>
      <c r="AL191" s="66">
        <v>62182</v>
      </c>
    </row>
    <row r="192" spans="1:38" hidden="1" x14ac:dyDescent="0.25">
      <c r="A192" s="39">
        <v>130037</v>
      </c>
      <c r="B192" s="40" t="s">
        <v>93</v>
      </c>
      <c r="C192" s="40" t="s">
        <v>93</v>
      </c>
      <c r="D192" s="41" t="s">
        <v>93</v>
      </c>
      <c r="E192" s="42" t="s">
        <v>356</v>
      </c>
      <c r="F192" s="42" t="s">
        <v>356</v>
      </c>
      <c r="G192" s="26">
        <f t="shared" si="37"/>
        <v>15528.481056212815</v>
      </c>
      <c r="H192" s="26">
        <v>13601.563474141059</v>
      </c>
      <c r="I192" s="43">
        <v>8846</v>
      </c>
      <c r="J192" s="44">
        <v>11783</v>
      </c>
      <c r="K192" s="44">
        <v>8406</v>
      </c>
      <c r="L192" s="43">
        <v>20220</v>
      </c>
      <c r="M192" s="44">
        <v>22360</v>
      </c>
      <c r="N192" s="44">
        <v>22621</v>
      </c>
      <c r="O192" s="43">
        <v>0</v>
      </c>
      <c r="P192" s="44">
        <v>0</v>
      </c>
      <c r="Q192" s="44">
        <v>0</v>
      </c>
      <c r="R192" s="43">
        <v>0</v>
      </c>
      <c r="S192" s="44">
        <v>0</v>
      </c>
      <c r="T192" s="44">
        <v>0</v>
      </c>
      <c r="U192" s="45">
        <f t="shared" si="38"/>
        <v>8846</v>
      </c>
      <c r="V192" s="45">
        <f t="shared" si="39"/>
        <v>20220</v>
      </c>
      <c r="W192" s="45">
        <f>SUM(U192*'Factors &amp; Percentages'!$E$6+V192*'Factors &amp; Percentages'!$E$7)</f>
        <v>2259.3407058108651</v>
      </c>
      <c r="X192" s="46">
        <v>0.33333333333333331</v>
      </c>
      <c r="Y192" s="45">
        <f>X192*'Factors &amp; Percentages'!$E$10</f>
        <v>4720.3230954365363</v>
      </c>
      <c r="Z192" s="47">
        <v>3.0494219820632995E-2</v>
      </c>
      <c r="AA192" s="45">
        <f>+'Factors &amp; Percentages'!E$13*Z192</f>
        <v>5082.5982079748655</v>
      </c>
      <c r="AB192" s="48">
        <v>13</v>
      </c>
      <c r="AC192" s="49">
        <v>29</v>
      </c>
      <c r="AD192" s="50">
        <v>4482</v>
      </c>
      <c r="AE192" s="45">
        <f>AB192*'Factors &amp; Percentages'!$E$16+AC192*'Factors &amp; Percentages'!$E$17+AD192*'Factors &amp; Percentages'!$E$18</f>
        <v>3466.2190469905472</v>
      </c>
      <c r="AF192" s="45">
        <f t="shared" si="40"/>
        <v>15528.481056212815</v>
      </c>
      <c r="AG192" s="51">
        <f t="shared" si="41"/>
        <v>15528.481056212815</v>
      </c>
      <c r="AH192" s="26">
        <f>IF($AL192&gt;$AF192,$AL192*(1+'Factors &amp; Percentages'!$B$3),
IF($AF192&gt;$AG192,$AG192,
IF($AF192&gt;$BOJ192,$AF192,
$AL192*(1+'Factors &amp; Percentages'!$B$3))))</f>
        <v>15528.481056212815</v>
      </c>
      <c r="AI192" s="26">
        <f>IF(+MIN(AH192,+X192*2*AK$1)-(AL192*(1+'Factors &amp; Percentages'!B$3))&gt;0,0,+MIN(AH192,+X192*2*AK$1)-(AL192*(1+'Factors &amp; Percentages'!B$3)))</f>
        <v>0</v>
      </c>
      <c r="AJ192" s="26">
        <f t="shared" si="36"/>
        <v>15528.481056212815</v>
      </c>
      <c r="AK192" s="51"/>
      <c r="AL192" s="52">
        <v>6000</v>
      </c>
    </row>
    <row r="193" spans="1:38" x14ac:dyDescent="0.25">
      <c r="A193" s="53">
        <v>130009</v>
      </c>
      <c r="B193" s="54" t="s">
        <v>55</v>
      </c>
      <c r="C193" s="54" t="s">
        <v>55</v>
      </c>
      <c r="D193" s="68" t="s">
        <v>55</v>
      </c>
      <c r="E193" s="56" t="s">
        <v>357</v>
      </c>
      <c r="F193" s="56" t="s">
        <v>256</v>
      </c>
      <c r="G193" s="64">
        <f t="shared" si="37"/>
        <v>21446.433264282976</v>
      </c>
      <c r="H193" s="64">
        <v>16411.922378209325</v>
      </c>
      <c r="I193" s="57">
        <v>32373</v>
      </c>
      <c r="J193" s="58">
        <v>22982</v>
      </c>
      <c r="K193" s="58">
        <v>27740</v>
      </c>
      <c r="L193" s="57">
        <v>42999</v>
      </c>
      <c r="M193" s="58">
        <v>32278</v>
      </c>
      <c r="N193" s="58">
        <v>37627</v>
      </c>
      <c r="O193" s="57">
        <v>0</v>
      </c>
      <c r="P193" s="58">
        <v>3917</v>
      </c>
      <c r="Q193" s="58">
        <v>272</v>
      </c>
      <c r="R193" s="57">
        <v>355</v>
      </c>
      <c r="S193" s="58">
        <v>3705</v>
      </c>
      <c r="T193" s="58">
        <v>305</v>
      </c>
      <c r="U193" s="59">
        <f t="shared" si="38"/>
        <v>32408.5</v>
      </c>
      <c r="V193" s="59">
        <f t="shared" si="39"/>
        <v>42999</v>
      </c>
      <c r="W193" s="59">
        <f>SUM(U193*'Factors &amp; Percentages'!$E$6+V193*'Factors &amp; Percentages'!$E$7)</f>
        <v>6096.8927943767303</v>
      </c>
      <c r="X193" s="60">
        <v>0.5</v>
      </c>
      <c r="Y193" s="59">
        <f>X193*'Factors &amp; Percentages'!$E$10</f>
        <v>7080.4846431548049</v>
      </c>
      <c r="Z193" s="61">
        <v>3.0876967634762525E-2</v>
      </c>
      <c r="AA193" s="59">
        <f>+'Factors &amp; Percentages'!E$13*Z193</f>
        <v>5146.3923750545155</v>
      </c>
      <c r="AB193" s="62">
        <v>16</v>
      </c>
      <c r="AC193" s="85">
        <v>15</v>
      </c>
      <c r="AD193" s="63">
        <v>2701</v>
      </c>
      <c r="AE193" s="59">
        <f>AB193*'Factors &amp; Percentages'!$E$16+AC193*'Factors &amp; Percentages'!$E$17+AD193*'Factors &amp; Percentages'!$E$18</f>
        <v>3122.6634516969243</v>
      </c>
      <c r="AF193" s="59">
        <f t="shared" si="40"/>
        <v>21446.433264282976</v>
      </c>
      <c r="AG193" s="65">
        <f t="shared" si="41"/>
        <v>21446.433264282976</v>
      </c>
      <c r="AH193" s="64">
        <f>IF($AL193&gt;$AF193,$AL193*(1+'Factors &amp; Percentages'!$B$3),
IF($AF193&gt;$AG193,$AG193,
IF($AF193&gt;$BOJ193,$AF193,
$AL193*(1+'Factors &amp; Percentages'!$B$3))))</f>
        <v>21446.433264282976</v>
      </c>
      <c r="AI193" s="64">
        <f>IF(+MIN(AH193,+X193*2*AK$1)-(AL193*(1+'Factors &amp; Percentages'!B$3))&gt;0,0,+MIN(AH193,+X193*2*AK$1)-(AL193*(1+'Factors &amp; Percentages'!B$3)))</f>
        <v>0</v>
      </c>
      <c r="AJ193" s="64">
        <f t="shared" si="36"/>
        <v>21446.433264282976</v>
      </c>
      <c r="AK193" s="65"/>
      <c r="AL193" s="66">
        <v>16412</v>
      </c>
    </row>
    <row r="194" spans="1:38" x14ac:dyDescent="0.25">
      <c r="A194" s="39">
        <v>130104</v>
      </c>
      <c r="B194" s="40" t="s">
        <v>56</v>
      </c>
      <c r="C194" s="40" t="s">
        <v>56</v>
      </c>
      <c r="D194" s="69" t="s">
        <v>56</v>
      </c>
      <c r="E194" s="42" t="s">
        <v>357</v>
      </c>
      <c r="F194" s="42" t="s">
        <v>256</v>
      </c>
      <c r="G194" s="26">
        <f t="shared" si="37"/>
        <v>19587.74577695745</v>
      </c>
      <c r="H194" s="26">
        <v>15280.577031177234</v>
      </c>
      <c r="I194" s="43">
        <v>42891</v>
      </c>
      <c r="J194" s="44">
        <v>35469</v>
      </c>
      <c r="K194" s="44">
        <v>23852</v>
      </c>
      <c r="L194" s="43">
        <v>33632</v>
      </c>
      <c r="M194" s="44">
        <v>34120</v>
      </c>
      <c r="N194" s="44">
        <v>46818</v>
      </c>
      <c r="O194" s="43">
        <v>6867</v>
      </c>
      <c r="P194" s="44">
        <v>15075</v>
      </c>
      <c r="Q194" s="44">
        <v>1608</v>
      </c>
      <c r="R194" s="43">
        <v>616</v>
      </c>
      <c r="S194" s="44">
        <v>7522</v>
      </c>
      <c r="T194" s="44">
        <v>1608</v>
      </c>
      <c r="U194" s="45">
        <f t="shared" si="38"/>
        <v>42952.6</v>
      </c>
      <c r="V194" s="45">
        <f t="shared" si="39"/>
        <v>34318.699999999997</v>
      </c>
      <c r="W194" s="45">
        <f>SUM(U194*'Factors &amp; Percentages'!$E$6+V194*'Factors &amp; Percentages'!$E$7)</f>
        <v>6490.021175640647</v>
      </c>
      <c r="X194" s="46">
        <v>0.25</v>
      </c>
      <c r="Y194" s="45">
        <f>X194*'Factors &amp; Percentages'!$E$10</f>
        <v>3540.2423215774024</v>
      </c>
      <c r="Z194" s="47">
        <v>3.3446158374249135E-2</v>
      </c>
      <c r="AA194" s="45">
        <f>+'Factors &amp; Percentages'!E$13*Z194</f>
        <v>5574.6100610706981</v>
      </c>
      <c r="AB194" s="48">
        <v>19</v>
      </c>
      <c r="AC194" s="49">
        <v>36</v>
      </c>
      <c r="AD194" s="50">
        <v>2360</v>
      </c>
      <c r="AE194" s="45">
        <f>AB194*'Factors &amp; Percentages'!$E$16+AC194*'Factors &amp; Percentages'!$E$17+AD194*'Factors &amp; Percentages'!$E$18</f>
        <v>3982.8722186687023</v>
      </c>
      <c r="AF194" s="45">
        <f t="shared" si="40"/>
        <v>19587.74577695745</v>
      </c>
      <c r="AG194" s="51">
        <f t="shared" si="41"/>
        <v>19587.74577695745</v>
      </c>
      <c r="AH194" s="26">
        <f>IF($AL194&gt;$AF194,$AL194*(1+'Factors &amp; Percentages'!$B$3),
IF($AF194&gt;$AG194,$AG194,
IF($AF194&gt;$BOJ194,$AF194,
$AL194*(1+'Factors &amp; Percentages'!$B$3))))</f>
        <v>19587.74577695745</v>
      </c>
      <c r="AI194" s="26">
        <f>IF(+MIN(AH194,+X194*2*AK$1)-(AL194*(1+'Factors &amp; Percentages'!B$3))&gt;0,0,+MIN(AH194,+X194*2*AK$1)-(AL194*(1+'Factors &amp; Percentages'!B$3)))</f>
        <v>0</v>
      </c>
      <c r="AJ194" s="26">
        <f t="shared" si="36"/>
        <v>19587.74577695745</v>
      </c>
      <c r="AK194" s="51"/>
      <c r="AL194" s="52">
        <v>7000</v>
      </c>
    </row>
    <row r="195" spans="1:38" hidden="1" x14ac:dyDescent="0.25">
      <c r="A195" s="53">
        <v>130356</v>
      </c>
      <c r="B195" s="54" t="e">
        <v>#N/A</v>
      </c>
      <c r="C195" s="54" t="e">
        <v>#N/A</v>
      </c>
      <c r="D195" s="55" t="s">
        <v>248</v>
      </c>
      <c r="E195" s="56" t="s">
        <v>237</v>
      </c>
      <c r="F195" s="56" t="s">
        <v>239</v>
      </c>
      <c r="G195" s="64">
        <v>17125.389582731419</v>
      </c>
      <c r="H195" s="64">
        <v>19649.317495155978</v>
      </c>
      <c r="I195" s="57">
        <v>24553</v>
      </c>
      <c r="J195" s="58">
        <v>23831</v>
      </c>
      <c r="K195" s="86">
        <v>22119</v>
      </c>
      <c r="L195" s="57">
        <v>37054</v>
      </c>
      <c r="M195" s="58">
        <v>32921</v>
      </c>
      <c r="N195" s="72">
        <v>28281</v>
      </c>
      <c r="O195" s="57">
        <v>3435</v>
      </c>
      <c r="P195" s="58">
        <v>18579</v>
      </c>
      <c r="Q195" s="64">
        <v>13688</v>
      </c>
      <c r="R195" s="57">
        <v>2500</v>
      </c>
      <c r="S195" s="58">
        <v>791</v>
      </c>
      <c r="T195" s="64">
        <v>532</v>
      </c>
      <c r="U195" s="59">
        <v>24803</v>
      </c>
      <c r="V195" s="59">
        <v>37397.5</v>
      </c>
      <c r="W195" s="59">
        <v>4981.0630501710748</v>
      </c>
      <c r="X195" s="60">
        <v>0.34</v>
      </c>
      <c r="Y195" s="59">
        <v>4814.7295573452675</v>
      </c>
      <c r="Z195" s="61">
        <v>4.0673554055153341E-2</v>
      </c>
      <c r="AA195" s="59">
        <v>6779.2301022508982</v>
      </c>
      <c r="AB195" s="62">
        <v>32</v>
      </c>
      <c r="AC195" s="85">
        <v>36</v>
      </c>
      <c r="AD195" s="63">
        <v>1463</v>
      </c>
      <c r="AE195" s="59">
        <v>5531.4299231352525</v>
      </c>
      <c r="AF195" s="59">
        <v>17125.389582731419</v>
      </c>
      <c r="AG195" s="65">
        <v>17125.389582731419</v>
      </c>
      <c r="AH195" s="64">
        <v>17125.389582731419</v>
      </c>
      <c r="AI195" s="64">
        <v>0</v>
      </c>
      <c r="AJ195" s="64">
        <v>17125.389582731419</v>
      </c>
      <c r="AK195" s="65"/>
      <c r="AL195" s="66">
        <v>10680</v>
      </c>
    </row>
    <row r="196" spans="1:38" x14ac:dyDescent="0.25">
      <c r="A196" s="39">
        <v>130058</v>
      </c>
      <c r="B196" s="40" t="s">
        <v>448</v>
      </c>
      <c r="C196" s="40" t="s">
        <v>212</v>
      </c>
      <c r="D196" s="41" t="s">
        <v>212</v>
      </c>
      <c r="E196" s="42" t="s">
        <v>357</v>
      </c>
      <c r="F196" s="42" t="s">
        <v>95</v>
      </c>
      <c r="G196" s="26">
        <f t="shared" ref="G196:G208" si="42">+AJ196</f>
        <v>14965.990621302532</v>
      </c>
      <c r="H196" s="26">
        <v>13673.469864701867</v>
      </c>
      <c r="I196" s="43">
        <v>15272</v>
      </c>
      <c r="J196" s="44">
        <v>16852</v>
      </c>
      <c r="K196" s="44">
        <v>25962</v>
      </c>
      <c r="L196" s="43">
        <v>25435</v>
      </c>
      <c r="M196" s="44">
        <v>25175</v>
      </c>
      <c r="N196" s="44">
        <v>24767</v>
      </c>
      <c r="O196" s="43">
        <v>6853</v>
      </c>
      <c r="P196" s="44">
        <v>0</v>
      </c>
      <c r="Q196" s="44">
        <v>6732</v>
      </c>
      <c r="R196" s="43">
        <v>120</v>
      </c>
      <c r="S196" s="44">
        <v>0</v>
      </c>
      <c r="T196" s="44">
        <v>0</v>
      </c>
      <c r="U196" s="45">
        <f t="shared" ref="U196:U208" si="43">I196+R196*0.1</f>
        <v>15284</v>
      </c>
      <c r="V196" s="45">
        <f t="shared" ref="V196:V208" si="44">L196+0.1*O196</f>
        <v>26120.3</v>
      </c>
      <c r="W196" s="45">
        <f>SUM(U196*'Factors &amp; Percentages'!$E$6+V196*'Factors &amp; Percentages'!$E$7)</f>
        <v>3285.1730586239264</v>
      </c>
      <c r="X196" s="46">
        <v>0.2</v>
      </c>
      <c r="Y196" s="45">
        <f>X196*'Factors &amp; Percentages'!$E$10</f>
        <v>2832.1938572619219</v>
      </c>
      <c r="Z196" s="47">
        <v>2.7377908218300492E-2</v>
      </c>
      <c r="AA196" s="45">
        <f>+'Factors &amp; Percentages'!E$13*Z196</f>
        <v>4563.1896164886357</v>
      </c>
      <c r="AB196" s="48">
        <v>16</v>
      </c>
      <c r="AC196" s="49">
        <v>35</v>
      </c>
      <c r="AD196" s="50">
        <v>5684</v>
      </c>
      <c r="AE196" s="45">
        <f>AB196*'Factors &amp; Percentages'!$E$16+AC196*'Factors &amp; Percentages'!$E$17+AD196*'Factors &amp; Percentages'!$E$18</f>
        <v>4285.4340889280465</v>
      </c>
      <c r="AF196" s="45">
        <f t="shared" ref="AF196:AF208" si="45">W196+Y196+AA196+AE196</f>
        <v>14965.990621302532</v>
      </c>
      <c r="AG196" s="51">
        <f t="shared" ref="AG196:AG208" si="46">IF($L196&gt;SUM(I196:K196)/3,$AF196,MIN(AF196,$I196*0.65))</f>
        <v>14965.990621302532</v>
      </c>
      <c r="AH196" s="26">
        <f>IF($AL196&gt;$AF196,$AL196*(1+'Factors &amp; Percentages'!$B$3),
IF($AF196&gt;$AG196,$AG196,
IF($AF196&gt;$BOJ196,$AF196,
$AL196*(1+'Factors &amp; Percentages'!$B$3))))</f>
        <v>14965.990621302532</v>
      </c>
      <c r="AI196" s="26">
        <f>IF(+MIN(AH196,+X196*2*AK$1)-(AL196*(1+'Factors &amp; Percentages'!B$3))&gt;0,0,+MIN(AH196,+X196*2*AK$1)-(AL196*(1+'Factors &amp; Percentages'!B$3)))</f>
        <v>0</v>
      </c>
      <c r="AJ196" s="26">
        <f t="shared" ref="AJ196:AJ207" si="47">MIN(AH196-AI196,+X196*2*AK$1)</f>
        <v>14965.990621302532</v>
      </c>
      <c r="AK196" s="51"/>
      <c r="AL196" s="52">
        <v>7200</v>
      </c>
    </row>
    <row r="197" spans="1:38" x14ac:dyDescent="0.25">
      <c r="A197" s="53">
        <v>130090</v>
      </c>
      <c r="B197" s="54" t="s">
        <v>124</v>
      </c>
      <c r="C197" s="54" t="s">
        <v>124</v>
      </c>
      <c r="D197" s="55" t="s">
        <v>124</v>
      </c>
      <c r="E197" s="56" t="s">
        <v>357</v>
      </c>
      <c r="F197" s="56" t="s">
        <v>361</v>
      </c>
      <c r="G197" s="64">
        <f t="shared" si="42"/>
        <v>67931.190490159046</v>
      </c>
      <c r="H197" s="64">
        <v>67490.863407089229</v>
      </c>
      <c r="I197" s="57">
        <v>122169</v>
      </c>
      <c r="J197" s="58">
        <v>124764</v>
      </c>
      <c r="K197" s="58">
        <v>115357</v>
      </c>
      <c r="L197" s="57">
        <v>164122</v>
      </c>
      <c r="M197" s="58">
        <v>164548</v>
      </c>
      <c r="N197" s="58">
        <v>163961</v>
      </c>
      <c r="O197" s="57">
        <v>0</v>
      </c>
      <c r="P197" s="58">
        <v>0</v>
      </c>
      <c r="Q197" s="58">
        <v>0</v>
      </c>
      <c r="R197" s="57">
        <v>0</v>
      </c>
      <c r="S197" s="58">
        <v>0</v>
      </c>
      <c r="T197" s="58">
        <v>0</v>
      </c>
      <c r="U197" s="59">
        <f t="shared" si="43"/>
        <v>122169</v>
      </c>
      <c r="V197" s="59">
        <f t="shared" si="44"/>
        <v>164122</v>
      </c>
      <c r="W197" s="59">
        <f>SUM(U197*'Factors &amp; Percentages'!$E$6+V197*'Factors &amp; Percentages'!$E$7)</f>
        <v>23125.659524591709</v>
      </c>
      <c r="X197" s="60">
        <v>0.75</v>
      </c>
      <c r="Y197" s="59">
        <f>X197*'Factors &amp; Percentages'!$E$10</f>
        <v>10620.726964732206</v>
      </c>
      <c r="Z197" s="61">
        <v>0.10937329104232746</v>
      </c>
      <c r="AA197" s="59">
        <f>+'Factors &amp; Percentages'!E$13*Z197</f>
        <v>18229.700458705083</v>
      </c>
      <c r="AB197" s="62">
        <v>67</v>
      </c>
      <c r="AC197" s="85">
        <v>167</v>
      </c>
      <c r="AD197" s="63">
        <v>12393</v>
      </c>
      <c r="AE197" s="59">
        <f>AB197*'Factors &amp; Percentages'!$E$16+AC197*'Factors &amp; Percentages'!$E$17+AD197*'Factors &amp; Percentages'!$E$18</f>
        <v>15955.103542130049</v>
      </c>
      <c r="AF197" s="59">
        <f t="shared" si="45"/>
        <v>67931.190490159046</v>
      </c>
      <c r="AG197" s="65">
        <f t="shared" si="46"/>
        <v>67931.190490159046</v>
      </c>
      <c r="AH197" s="64">
        <f>IF($AL197&gt;$AF197,$AL197*(1+'Factors &amp; Percentages'!$B$3),
IF($AF197&gt;$AG197,$AG197,
IF($AF197&gt;$BOJ197,$AF197,
$AL197*(1+'Factors &amp; Percentages'!$B$3))))</f>
        <v>67931.190490159046</v>
      </c>
      <c r="AI197" s="64">
        <f>IF(+MIN(AH197,+X197*2*AK$1)-(AL197*(1+'Factors &amp; Percentages'!B$3))&gt;0,0,+MIN(AH197,+X197*2*AK$1)-(AL197*(1+'Factors &amp; Percentages'!B$3)))</f>
        <v>0</v>
      </c>
      <c r="AJ197" s="64">
        <f t="shared" si="47"/>
        <v>67931.190490159046</v>
      </c>
      <c r="AK197" s="65"/>
      <c r="AL197" s="66">
        <v>56004</v>
      </c>
    </row>
    <row r="198" spans="1:38" x14ac:dyDescent="0.25">
      <c r="A198" s="39">
        <v>130183</v>
      </c>
      <c r="B198" s="40" t="s">
        <v>155</v>
      </c>
      <c r="C198" s="40" t="s">
        <v>155</v>
      </c>
      <c r="D198" s="41" t="s">
        <v>155</v>
      </c>
      <c r="E198" s="42" t="s">
        <v>357</v>
      </c>
      <c r="F198" s="42" t="s">
        <v>362</v>
      </c>
      <c r="G198" s="26">
        <f t="shared" si="42"/>
        <v>34886.558654541637</v>
      </c>
      <c r="H198" s="26">
        <v>36275</v>
      </c>
      <c r="I198" s="43">
        <v>61012</v>
      </c>
      <c r="J198" s="44">
        <v>56464</v>
      </c>
      <c r="K198" s="44">
        <v>58175</v>
      </c>
      <c r="L198" s="43">
        <v>54692</v>
      </c>
      <c r="M198" s="44">
        <v>55685</v>
      </c>
      <c r="N198" s="44">
        <v>66262</v>
      </c>
      <c r="O198" s="43">
        <v>0</v>
      </c>
      <c r="P198" s="44">
        <v>0</v>
      </c>
      <c r="Q198" s="44">
        <v>0</v>
      </c>
      <c r="R198" s="43">
        <v>250</v>
      </c>
      <c r="S198" s="44">
        <v>0</v>
      </c>
      <c r="T198" s="44">
        <v>0</v>
      </c>
      <c r="U198" s="45">
        <f t="shared" si="43"/>
        <v>61037</v>
      </c>
      <c r="V198" s="45">
        <f t="shared" si="44"/>
        <v>54692</v>
      </c>
      <c r="W198" s="45">
        <f>SUM(U198*'Factors &amp; Percentages'!$E$6+V198*'Factors &amp; Percentages'!$E$7)</f>
        <v>9638.1470172200025</v>
      </c>
      <c r="X198" s="46">
        <v>0.5</v>
      </c>
      <c r="Y198" s="45">
        <f>X198*'Factors &amp; Percentages'!$E$10</f>
        <v>7080.4846431548049</v>
      </c>
      <c r="Z198" s="47">
        <v>5.5082761849679147E-2</v>
      </c>
      <c r="AA198" s="45">
        <f>+'Factors &amp; Percentages'!E$13*Z198</f>
        <v>9180.8725822215201</v>
      </c>
      <c r="AB198" s="48">
        <v>45</v>
      </c>
      <c r="AC198" s="49">
        <v>61</v>
      </c>
      <c r="AD198" s="50">
        <v>6358</v>
      </c>
      <c r="AE198" s="45">
        <f>AB198*'Factors &amp; Percentages'!$E$16+AC198*'Factors &amp; Percentages'!$E$17+AD198*'Factors &amp; Percentages'!$E$18</f>
        <v>8987.0544119453116</v>
      </c>
      <c r="AF198" s="45">
        <f t="shared" si="45"/>
        <v>34886.558654541637</v>
      </c>
      <c r="AG198" s="51">
        <f t="shared" si="46"/>
        <v>34886.558654541637</v>
      </c>
      <c r="AH198" s="26">
        <f>IF($AL198&gt;$AF198,$AL198*(1+'Factors &amp; Percentages'!$B$3),
IF($AF198&gt;$AG198,$AG198,
IF($AF198&gt;$BOJ198,$AF198,
$AL198*(1+'Factors &amp; Percentages'!$B$3))))</f>
        <v>34886.558654541637</v>
      </c>
      <c r="AI198" s="26">
        <f>IF(+MIN(AH198,+X198*2*AK$1)-(AL198*(1+'Factors &amp; Percentages'!B$3))&gt;0,0,+MIN(AH198,+X198*2*AK$1)-(AL198*(1+'Factors &amp; Percentages'!B$3)))</f>
        <v>0</v>
      </c>
      <c r="AJ198" s="26">
        <f t="shared" si="47"/>
        <v>34886.558654541637</v>
      </c>
      <c r="AK198" s="51"/>
      <c r="AL198" s="52">
        <v>24480</v>
      </c>
    </row>
    <row r="199" spans="1:38" hidden="1" x14ac:dyDescent="0.25">
      <c r="A199" s="53">
        <v>130205</v>
      </c>
      <c r="B199" s="54" t="s">
        <v>23</v>
      </c>
      <c r="C199" s="54" t="s">
        <v>23</v>
      </c>
      <c r="D199" s="55" t="s">
        <v>23</v>
      </c>
      <c r="E199" s="56" t="s">
        <v>237</v>
      </c>
      <c r="F199" s="56" t="s">
        <v>237</v>
      </c>
      <c r="G199" s="64">
        <f t="shared" si="42"/>
        <v>16803.801960862002</v>
      </c>
      <c r="H199" s="64">
        <v>15182.782373154394</v>
      </c>
      <c r="I199" s="57">
        <v>13291</v>
      </c>
      <c r="J199" s="58">
        <v>17204</v>
      </c>
      <c r="K199" s="58">
        <v>13773</v>
      </c>
      <c r="L199" s="57">
        <v>19436</v>
      </c>
      <c r="M199" s="58">
        <v>22243</v>
      </c>
      <c r="N199" s="58">
        <v>20525</v>
      </c>
      <c r="O199" s="57">
        <v>32354</v>
      </c>
      <c r="P199" s="58">
        <v>34517</v>
      </c>
      <c r="Q199" s="58">
        <v>17678</v>
      </c>
      <c r="R199" s="57">
        <v>2579</v>
      </c>
      <c r="S199" s="58">
        <v>17550</v>
      </c>
      <c r="T199" s="58">
        <v>226</v>
      </c>
      <c r="U199" s="59">
        <f t="shared" si="43"/>
        <v>13548.9</v>
      </c>
      <c r="V199" s="59">
        <f t="shared" si="44"/>
        <v>22671.4</v>
      </c>
      <c r="W199" s="59">
        <f>SUM(U199*'Factors &amp; Percentages'!$E$6+V199*'Factors &amp; Percentages'!$E$7)</f>
        <v>2878.2971566343285</v>
      </c>
      <c r="X199" s="60">
        <v>0.3</v>
      </c>
      <c r="Y199" s="59">
        <f>X199*'Factors &amp; Percentages'!$E$10</f>
        <v>4248.2907858928829</v>
      </c>
      <c r="Z199" s="61">
        <v>4.2607402610129484E-2</v>
      </c>
      <c r="AA199" s="59">
        <f>+'Factors &amp; Percentages'!E$13*Z199</f>
        <v>7101.5526688825603</v>
      </c>
      <c r="AB199" s="62">
        <v>14</v>
      </c>
      <c r="AC199" s="85">
        <v>27</v>
      </c>
      <c r="AD199" s="63">
        <v>51</v>
      </c>
      <c r="AE199" s="59">
        <f>AB199*'Factors &amp; Percentages'!$E$16+AC199*'Factors &amp; Percentages'!$E$17+AD199*'Factors &amp; Percentages'!$E$18</f>
        <v>2575.6613494522312</v>
      </c>
      <c r="AF199" s="59">
        <f t="shared" si="45"/>
        <v>16803.801960862002</v>
      </c>
      <c r="AG199" s="65">
        <f t="shared" si="46"/>
        <v>16803.801960862002</v>
      </c>
      <c r="AH199" s="64">
        <f>IF($AL199&gt;$AF199,$AL199*(1+'Factors &amp; Percentages'!$B$3),
IF($AF199&gt;$AG199,$AG199,
IF($AF199&gt;$BOJ199,$AF199,
$AL199*(1+'Factors &amp; Percentages'!$B$3))))</f>
        <v>16803.801960862002</v>
      </c>
      <c r="AI199" s="64">
        <f>IF(+MIN(AH199,+X199*2*AK$1)-(AL199*(1+'Factors &amp; Percentages'!B$3))&gt;0,0,+MIN(AH199,+X199*2*AK$1)-(AL199*(1+'Factors &amp; Percentages'!B$3)))</f>
        <v>0</v>
      </c>
      <c r="AJ199" s="64">
        <f t="shared" si="47"/>
        <v>16803.801960862002</v>
      </c>
      <c r="AK199" s="65"/>
      <c r="AL199" s="66">
        <v>10641</v>
      </c>
    </row>
    <row r="200" spans="1:38" hidden="1" x14ac:dyDescent="0.25">
      <c r="A200" s="39">
        <v>130206</v>
      </c>
      <c r="B200" s="40" t="s">
        <v>352</v>
      </c>
      <c r="C200" s="40" t="s">
        <v>352</v>
      </c>
      <c r="D200" s="41" t="s">
        <v>172</v>
      </c>
      <c r="E200" s="42" t="s">
        <v>237</v>
      </c>
      <c r="F200" s="42" t="s">
        <v>237</v>
      </c>
      <c r="G200" s="26">
        <f t="shared" si="42"/>
        <v>25469.193418534102</v>
      </c>
      <c r="H200" s="26">
        <v>22388.969284136627</v>
      </c>
      <c r="I200" s="43">
        <v>36097</v>
      </c>
      <c r="J200" s="44">
        <v>36840</v>
      </c>
      <c r="K200" s="44">
        <v>37571</v>
      </c>
      <c r="L200" s="43">
        <v>59999</v>
      </c>
      <c r="M200" s="44">
        <v>69429</v>
      </c>
      <c r="N200" s="44">
        <v>66976</v>
      </c>
      <c r="O200" s="43">
        <v>70255</v>
      </c>
      <c r="P200" s="44">
        <v>59073</v>
      </c>
      <c r="Q200" s="44">
        <v>62634</v>
      </c>
      <c r="R200" s="43">
        <v>4280</v>
      </c>
      <c r="S200" s="44">
        <v>94</v>
      </c>
      <c r="T200" s="44">
        <v>3084</v>
      </c>
      <c r="U200" s="45">
        <f t="shared" si="43"/>
        <v>36525</v>
      </c>
      <c r="V200" s="45">
        <f t="shared" si="44"/>
        <v>67024.5</v>
      </c>
      <c r="W200" s="45">
        <f>SUM(U200*'Factors &amp; Percentages'!$E$6+V200*'Factors &amp; Percentages'!$E$7)</f>
        <v>8173.7237361158286</v>
      </c>
      <c r="X200" s="46">
        <v>0.5</v>
      </c>
      <c r="Y200" s="45">
        <f>X200*'Factors &amp; Percentages'!$E$10</f>
        <v>7080.4846431548049</v>
      </c>
      <c r="Z200" s="47">
        <v>2.5983136944123263E-2</v>
      </c>
      <c r="AA200" s="45">
        <f>+'Factors &amp; Percentages'!E$13*Z200</f>
        <v>4330.7172981159774</v>
      </c>
      <c r="AB200" s="48">
        <v>22</v>
      </c>
      <c r="AC200" s="49">
        <v>50</v>
      </c>
      <c r="AD200" s="50">
        <v>7562</v>
      </c>
      <c r="AE200" s="45">
        <f>AB200*'Factors &amp; Percentages'!$E$16+AC200*'Factors &amp; Percentages'!$E$17+AD200*'Factors &amp; Percentages'!$E$18</f>
        <v>5884.2677411474888</v>
      </c>
      <c r="AF200" s="45">
        <f t="shared" si="45"/>
        <v>25469.193418534102</v>
      </c>
      <c r="AG200" s="51">
        <f t="shared" si="46"/>
        <v>25469.193418534102</v>
      </c>
      <c r="AH200" s="26">
        <f>IF($AL200&gt;$AF200,$AL200*(1+'Factors &amp; Percentages'!$B$3),
IF($AF200&gt;$AG200,$AG200,
IF($AF200&gt;$BOJ200,$AF200,
$AL200*(1+'Factors &amp; Percentages'!$B$3))))</f>
        <v>25469.193418534102</v>
      </c>
      <c r="AI200" s="26">
        <f>IF(+MIN(AH200,+X200*2*AK$1)-(AL200*(1+'Factors &amp; Percentages'!B$3))&gt;0,0,+MIN(AH200,+X200*2*AK$1)-(AL200*(1+'Factors &amp; Percentages'!B$3)))</f>
        <v>0</v>
      </c>
      <c r="AJ200" s="26">
        <f t="shared" si="47"/>
        <v>25469.193418534102</v>
      </c>
      <c r="AK200" s="51"/>
      <c r="AL200" s="52">
        <v>19302</v>
      </c>
    </row>
    <row r="201" spans="1:38" x14ac:dyDescent="0.25">
      <c r="A201" s="53">
        <v>130075</v>
      </c>
      <c r="B201" s="54" t="s">
        <v>449</v>
      </c>
      <c r="C201" s="54" t="s">
        <v>353</v>
      </c>
      <c r="D201" s="55" t="s">
        <v>117</v>
      </c>
      <c r="E201" s="56" t="s">
        <v>357</v>
      </c>
      <c r="F201" s="56" t="s">
        <v>359</v>
      </c>
      <c r="G201" s="64">
        <f t="shared" si="42"/>
        <v>25125.239487976476</v>
      </c>
      <c r="H201" s="64">
        <v>23424.45</v>
      </c>
      <c r="I201" s="57">
        <v>46010</v>
      </c>
      <c r="J201" s="58">
        <v>51887</v>
      </c>
      <c r="K201" s="58">
        <v>47637</v>
      </c>
      <c r="L201" s="57">
        <v>11076</v>
      </c>
      <c r="M201" s="58">
        <v>12980</v>
      </c>
      <c r="N201" s="58">
        <v>10655</v>
      </c>
      <c r="O201" s="57">
        <v>10559</v>
      </c>
      <c r="P201" s="58">
        <v>10115</v>
      </c>
      <c r="Q201" s="58">
        <v>10180</v>
      </c>
      <c r="R201" s="57">
        <v>2068</v>
      </c>
      <c r="S201" s="58">
        <v>7007</v>
      </c>
      <c r="T201" s="58">
        <v>4646</v>
      </c>
      <c r="U201" s="59">
        <f t="shared" si="43"/>
        <v>46216.800000000003</v>
      </c>
      <c r="V201" s="59">
        <f t="shared" si="44"/>
        <v>12131.9</v>
      </c>
      <c r="W201" s="59">
        <f>SUM(U201*'Factors &amp; Percentages'!$E$6+V201*'Factors &amp; Percentages'!$E$7)</f>
        <v>5243.6622424033494</v>
      </c>
      <c r="X201" s="60">
        <v>0.5</v>
      </c>
      <c r="Y201" s="59">
        <f>X201*'Factors &amp; Percentages'!$E$10</f>
        <v>7080.4846431548049</v>
      </c>
      <c r="Z201" s="61">
        <v>2.9180381445946264E-2</v>
      </c>
      <c r="AA201" s="59">
        <f>+'Factors &amp; Percentages'!E$13*Z201</f>
        <v>4863.6153119365445</v>
      </c>
      <c r="AB201" s="62">
        <v>34</v>
      </c>
      <c r="AC201" s="85">
        <v>61</v>
      </c>
      <c r="AD201" s="63">
        <v>8303</v>
      </c>
      <c r="AE201" s="59">
        <f>AB201*'Factors &amp; Percentages'!$E$16+AC201*'Factors &amp; Percentages'!$E$17+AD201*'Factors &amp; Percentages'!$E$18</f>
        <v>7937.4772904817764</v>
      </c>
      <c r="AF201" s="59">
        <f t="shared" si="45"/>
        <v>25125.239487976476</v>
      </c>
      <c r="AG201" s="65">
        <f t="shared" si="46"/>
        <v>25125.239487976476</v>
      </c>
      <c r="AH201" s="64">
        <f>IF($AL201&gt;$AF201,$AL201*(1+'Factors &amp; Percentages'!$B$3),
IF($AF201&gt;$AG201,$AG201,
IF($AF201&gt;$BOJ201,$AF201,
$AL201*(1+'Factors &amp; Percentages'!$B$3))))</f>
        <v>25125.239487976476</v>
      </c>
      <c r="AI201" s="64">
        <f>IF(+MIN(AH201,+X201*2*AK$1)-(AL201*(1+'Factors &amp; Percentages'!B$3))&gt;0,0,+MIN(AH201,+X201*2*AK$1)-(AL201*(1+'Factors &amp; Percentages'!B$3)))</f>
        <v>0</v>
      </c>
      <c r="AJ201" s="64">
        <f t="shared" si="47"/>
        <v>25125.239487976476</v>
      </c>
      <c r="AK201" s="65"/>
      <c r="AL201" s="66">
        <v>22320</v>
      </c>
    </row>
    <row r="202" spans="1:38" x14ac:dyDescent="0.25">
      <c r="A202" s="39">
        <v>130059</v>
      </c>
      <c r="B202" s="40" t="s">
        <v>450</v>
      </c>
      <c r="C202" s="40" t="s">
        <v>106</v>
      </c>
      <c r="D202" s="41" t="s">
        <v>106</v>
      </c>
      <c r="E202" s="42" t="s">
        <v>357</v>
      </c>
      <c r="F202" s="42" t="s">
        <v>95</v>
      </c>
      <c r="G202" s="26">
        <f t="shared" si="42"/>
        <v>24288.43</v>
      </c>
      <c r="H202" s="26">
        <v>23580.9</v>
      </c>
      <c r="I202" s="43">
        <v>28399</v>
      </c>
      <c r="J202" s="44">
        <v>30710</v>
      </c>
      <c r="K202" s="44">
        <v>37062</v>
      </c>
      <c r="L202" s="43">
        <v>16584</v>
      </c>
      <c r="M202" s="44">
        <v>22520</v>
      </c>
      <c r="N202" s="44">
        <v>31822</v>
      </c>
      <c r="O202" s="43">
        <v>18118</v>
      </c>
      <c r="P202" s="44">
        <v>36529</v>
      </c>
      <c r="Q202" s="44">
        <v>10465</v>
      </c>
      <c r="R202" s="43">
        <v>530</v>
      </c>
      <c r="S202" s="44">
        <v>9178</v>
      </c>
      <c r="T202" s="44">
        <v>11833</v>
      </c>
      <c r="U202" s="45">
        <f t="shared" si="43"/>
        <v>28452</v>
      </c>
      <c r="V202" s="45">
        <f t="shared" si="44"/>
        <v>18395.8</v>
      </c>
      <c r="W202" s="45">
        <f>SUM(U202*'Factors &amp; Percentages'!$E$6+V202*'Factors &amp; Percentages'!$E$7)</f>
        <v>3994.7378939787864</v>
      </c>
      <c r="X202" s="46">
        <v>0.3</v>
      </c>
      <c r="Y202" s="45">
        <f>X202*'Factors &amp; Percentages'!$E$10</f>
        <v>4248.2907858928829</v>
      </c>
      <c r="Z202" s="47">
        <v>2.9987435264624124E-2</v>
      </c>
      <c r="AA202" s="45">
        <f>+'Factors &amp; Percentages'!E$13*Z202</f>
        <v>4998.1303222132101</v>
      </c>
      <c r="AB202" s="48">
        <v>16</v>
      </c>
      <c r="AC202" s="49">
        <v>47</v>
      </c>
      <c r="AD202" s="50">
        <v>5878</v>
      </c>
      <c r="AE202" s="45">
        <f>AB202*'Factors &amp; Percentages'!$E$16+AC202*'Factors &amp; Percentages'!$E$17+AD202*'Factors &amp; Percentages'!$E$18</f>
        <v>4632.2614072470478</v>
      </c>
      <c r="AF202" s="45">
        <f t="shared" si="45"/>
        <v>17873.420409331928</v>
      </c>
      <c r="AG202" s="51">
        <f t="shared" si="46"/>
        <v>17873.420409331928</v>
      </c>
      <c r="AH202" s="26">
        <f>IF($AL202&gt;$AF202,$AL202*(1+'Factors &amp; Percentages'!$B$3),
IF($AF202&gt;$AG202,$AG202,
IF($AF202&gt;$BOJ202,$AF202,
$AL202*(1+'Factors &amp; Percentages'!$B$3))))</f>
        <v>24288.43</v>
      </c>
      <c r="AI202" s="26">
        <f>IF(+MIN(AH202,+X202*2*AK$1)-(AL202*(1+'Factors &amp; Percentages'!B$3))&gt;0,0,+MIN(AH202,+X202*2*AK$1)-(AL202*(1+'Factors &amp; Percentages'!B$3)))</f>
        <v>0</v>
      </c>
      <c r="AJ202" s="26">
        <f t="shared" si="47"/>
        <v>24288.43</v>
      </c>
      <c r="AK202" s="51"/>
      <c r="AL202" s="52">
        <v>23581</v>
      </c>
    </row>
    <row r="203" spans="1:38" x14ac:dyDescent="0.25">
      <c r="A203" s="53">
        <v>130091</v>
      </c>
      <c r="B203" s="54" t="s">
        <v>125</v>
      </c>
      <c r="C203" s="54" t="s">
        <v>125</v>
      </c>
      <c r="D203" s="55" t="s">
        <v>125</v>
      </c>
      <c r="E203" s="56" t="s">
        <v>357</v>
      </c>
      <c r="F203" s="56" t="s">
        <v>361</v>
      </c>
      <c r="G203" s="64">
        <f t="shared" si="42"/>
        <v>31697.411055095828</v>
      </c>
      <c r="H203" s="64">
        <v>29264.662128622505</v>
      </c>
      <c r="I203" s="57">
        <v>60795</v>
      </c>
      <c r="J203" s="58">
        <v>61530</v>
      </c>
      <c r="K203" s="58">
        <v>56696</v>
      </c>
      <c r="L203" s="57">
        <v>27091</v>
      </c>
      <c r="M203" s="58">
        <v>40789</v>
      </c>
      <c r="N203" s="58">
        <v>50226</v>
      </c>
      <c r="O203" s="57">
        <v>3426</v>
      </c>
      <c r="P203" s="58">
        <v>3898</v>
      </c>
      <c r="Q203" s="58">
        <v>18887</v>
      </c>
      <c r="R203" s="57">
        <v>0</v>
      </c>
      <c r="S203" s="58">
        <v>15713</v>
      </c>
      <c r="T203" s="58">
        <v>2517</v>
      </c>
      <c r="U203" s="59">
        <f t="shared" si="43"/>
        <v>60795</v>
      </c>
      <c r="V203" s="59">
        <f t="shared" si="44"/>
        <v>27433.599999999999</v>
      </c>
      <c r="W203" s="59">
        <f>SUM(U203*'Factors &amp; Percentages'!$E$6+V203*'Factors &amp; Percentages'!$E$7)</f>
        <v>7702.7382644790814</v>
      </c>
      <c r="X203" s="60">
        <v>0.5</v>
      </c>
      <c r="Y203" s="59">
        <f>X203*'Factors &amp; Percentages'!$E$10</f>
        <v>7080.4846431548049</v>
      </c>
      <c r="Z203" s="61">
        <v>3.5460238434643236E-2</v>
      </c>
      <c r="AA203" s="59">
        <f>+'Factors &amp; Percentages'!E$13*Z203</f>
        <v>5910.3051457749334</v>
      </c>
      <c r="AB203" s="62">
        <v>50</v>
      </c>
      <c r="AC203" s="85">
        <v>73</v>
      </c>
      <c r="AD203" s="63">
        <v>11094</v>
      </c>
      <c r="AE203" s="59">
        <f>AB203*'Factors &amp; Percentages'!$E$16+AC203*'Factors &amp; Percentages'!$E$17+AD203*'Factors &amp; Percentages'!$E$18</f>
        <v>11003.883001687009</v>
      </c>
      <c r="AF203" s="59">
        <f t="shared" si="45"/>
        <v>31697.411055095828</v>
      </c>
      <c r="AG203" s="65">
        <f t="shared" si="46"/>
        <v>31697.411055095828</v>
      </c>
      <c r="AH203" s="64">
        <f>IF($AL203&gt;$AF203,$AL203*(1+'Factors &amp; Percentages'!$B$3),
IF($AF203&gt;$AG203,$AG203,
IF($AF203&gt;$BOJ203,$AF203,
$AL203*(1+'Factors &amp; Percentages'!$B$3))))</f>
        <v>31697.411055095828</v>
      </c>
      <c r="AI203" s="64">
        <f>IF(+MIN(AH203,+X203*2*AK$1)-(AL203*(1+'Factors &amp; Percentages'!B$3))&gt;0,0,+MIN(AH203,+X203*2*AK$1)-(AL203*(1+'Factors &amp; Percentages'!B$3)))</f>
        <v>0</v>
      </c>
      <c r="AJ203" s="64">
        <f t="shared" si="47"/>
        <v>31697.411055095828</v>
      </c>
      <c r="AK203" s="65"/>
      <c r="AL203" s="66">
        <v>20000</v>
      </c>
    </row>
    <row r="204" spans="1:38" hidden="1" x14ac:dyDescent="0.25">
      <c r="A204" s="39">
        <v>130222</v>
      </c>
      <c r="B204" s="40" t="s">
        <v>41</v>
      </c>
      <c r="C204" s="40" t="s">
        <v>41</v>
      </c>
      <c r="D204" s="41" t="s">
        <v>41</v>
      </c>
      <c r="E204" s="42" t="s">
        <v>237</v>
      </c>
      <c r="F204" s="42" t="s">
        <v>239</v>
      </c>
      <c r="G204" s="26">
        <f t="shared" si="42"/>
        <v>12813.45</v>
      </c>
      <c r="H204" s="26">
        <v>9802.65</v>
      </c>
      <c r="I204" s="43">
        <v>19713</v>
      </c>
      <c r="J204" s="44">
        <v>15081</v>
      </c>
      <c r="K204" s="44">
        <v>17994</v>
      </c>
      <c r="L204" s="43">
        <v>7676</v>
      </c>
      <c r="M204" s="44">
        <v>5330</v>
      </c>
      <c r="N204" s="44">
        <v>4980</v>
      </c>
      <c r="O204" s="43">
        <v>11072</v>
      </c>
      <c r="P204" s="44">
        <v>8505</v>
      </c>
      <c r="Q204" s="44">
        <v>3920</v>
      </c>
      <c r="R204" s="43">
        <v>2567</v>
      </c>
      <c r="S204" s="44">
        <v>5370</v>
      </c>
      <c r="T204" s="44">
        <v>841</v>
      </c>
      <c r="U204" s="45">
        <f t="shared" si="43"/>
        <v>19969.7</v>
      </c>
      <c r="V204" s="45">
        <f t="shared" si="44"/>
        <v>8783.2000000000007</v>
      </c>
      <c r="W204" s="45">
        <f>SUM(U204*'Factors &amp; Percentages'!$E$6+V204*'Factors &amp; Percentages'!$E$7)</f>
        <v>2514.1631077629868</v>
      </c>
      <c r="X204" s="46">
        <v>0.25</v>
      </c>
      <c r="Y204" s="45">
        <f>X204*'Factors &amp; Percentages'!$E$10</f>
        <v>3540.2423215774024</v>
      </c>
      <c r="Z204" s="47">
        <v>5.9762146656307892E-2</v>
      </c>
      <c r="AA204" s="45">
        <f>+'Factors &amp; Percentages'!E$13*Z204</f>
        <v>9960.8050734441276</v>
      </c>
      <c r="AB204" s="48">
        <v>22</v>
      </c>
      <c r="AC204" s="49">
        <v>42</v>
      </c>
      <c r="AD204" s="50">
        <v>386</v>
      </c>
      <c r="AE204" s="45">
        <f>AB204*'Factors &amp; Percentages'!$E$16+AC204*'Factors &amp; Percentages'!$E$17+AD204*'Factors &amp; Percentages'!$E$18</f>
        <v>4103.8467772583645</v>
      </c>
      <c r="AF204" s="45">
        <f t="shared" si="45"/>
        <v>20119.057280042882</v>
      </c>
      <c r="AG204" s="51">
        <f t="shared" si="46"/>
        <v>12813.45</v>
      </c>
      <c r="AH204" s="26">
        <f>IF($AL204&gt;$AF204,$AL204*(1+'Factors &amp; Percentages'!$B$3),
IF($AF204&gt;$AG204,$AG204,
IF($AF204&gt;$BOJ204,$AF204,
$AL204*(1+'Factors &amp; Percentages'!$B$3))))</f>
        <v>12813.45</v>
      </c>
      <c r="AI204" s="26">
        <f>IF(+MIN(AH204,+X204*2*AK$1)-(AL204*(1+'Factors &amp; Percentages'!B$3))&gt;0,0,+MIN(AH204,+X204*2*AK$1)-(AL204*(1+'Factors &amp; Percentages'!B$3)))</f>
        <v>0</v>
      </c>
      <c r="AJ204" s="26">
        <f t="shared" si="47"/>
        <v>12813.45</v>
      </c>
      <c r="AK204" s="51"/>
      <c r="AL204" s="52">
        <v>9420</v>
      </c>
    </row>
    <row r="205" spans="1:38" hidden="1" x14ac:dyDescent="0.25">
      <c r="A205" s="53">
        <v>130038</v>
      </c>
      <c r="B205" s="54" t="s">
        <v>451</v>
      </c>
      <c r="C205" s="54" t="s">
        <v>354</v>
      </c>
      <c r="D205" s="55" t="s">
        <v>94</v>
      </c>
      <c r="E205" s="56" t="s">
        <v>356</v>
      </c>
      <c r="F205" s="56" t="s">
        <v>356</v>
      </c>
      <c r="G205" s="64">
        <f t="shared" si="42"/>
        <v>23045.142434465673</v>
      </c>
      <c r="H205" s="64">
        <v>21720.641930875849</v>
      </c>
      <c r="I205" s="57">
        <v>37065</v>
      </c>
      <c r="J205" s="58">
        <v>38829</v>
      </c>
      <c r="K205" s="58">
        <v>34344</v>
      </c>
      <c r="L205" s="57">
        <v>23694</v>
      </c>
      <c r="M205" s="58">
        <v>24436</v>
      </c>
      <c r="N205" s="58">
        <v>22484</v>
      </c>
      <c r="O205" s="57">
        <v>2335</v>
      </c>
      <c r="P205" s="58">
        <v>2335</v>
      </c>
      <c r="Q205" s="58">
        <v>2319</v>
      </c>
      <c r="R205" s="57">
        <v>0</v>
      </c>
      <c r="S205" s="58">
        <v>16</v>
      </c>
      <c r="T205" s="58">
        <v>10</v>
      </c>
      <c r="U205" s="59">
        <f t="shared" si="43"/>
        <v>37065</v>
      </c>
      <c r="V205" s="59">
        <f t="shared" si="44"/>
        <v>23927.5</v>
      </c>
      <c r="W205" s="59">
        <f>SUM(U205*'Factors &amp; Percentages'!$E$6+V205*'Factors &amp; Percentages'!$E$7)</f>
        <v>5201.4247155231214</v>
      </c>
      <c r="X205" s="60">
        <v>0.33333333333333331</v>
      </c>
      <c r="Y205" s="59">
        <f>X205*'Factors &amp; Percentages'!$E$10</f>
        <v>4720.3230954365363</v>
      </c>
      <c r="Z205" s="61">
        <v>3.8966605618984532E-2</v>
      </c>
      <c r="AA205" s="59">
        <f>+'Factors &amp; Percentages'!E$13*Z205</f>
        <v>6494.7259203499434</v>
      </c>
      <c r="AB205" s="62">
        <v>25</v>
      </c>
      <c r="AC205" s="85">
        <v>55</v>
      </c>
      <c r="AD205" s="63">
        <v>8539</v>
      </c>
      <c r="AE205" s="59">
        <f>AB205*'Factors &amp; Percentages'!$E$16+AC205*'Factors &amp; Percentages'!$E$17+AD205*'Factors &amp; Percentages'!$E$18</f>
        <v>6628.6687031560723</v>
      </c>
      <c r="AF205" s="59">
        <f t="shared" si="45"/>
        <v>23045.142434465673</v>
      </c>
      <c r="AG205" s="65">
        <f t="shared" si="46"/>
        <v>23045.142434465673</v>
      </c>
      <c r="AH205" s="64">
        <f>IF($AL205&gt;$AF205,$AL205*(1+'Factors &amp; Percentages'!$B$3),
IF($AF205&gt;$AG205,$AG205,
IF($AF205&gt;$BOJ205,$AF205,
$AL205*(1+'Factors &amp; Percentages'!$B$3))))</f>
        <v>23045.142434465673</v>
      </c>
      <c r="AI205" s="64">
        <f>IF(+MIN(AH205,+X205*2*AK$1)-(AL205*(1+'Factors &amp; Percentages'!B$3))&gt;0,0,+MIN(AH205,+X205*2*AK$1)-(AL205*(1+'Factors &amp; Percentages'!B$3)))</f>
        <v>0</v>
      </c>
      <c r="AJ205" s="64">
        <f t="shared" si="47"/>
        <v>23045.142434465673</v>
      </c>
      <c r="AK205" s="65"/>
      <c r="AL205" s="66">
        <v>21721</v>
      </c>
    </row>
    <row r="206" spans="1:38" hidden="1" x14ac:dyDescent="0.25">
      <c r="A206" s="39">
        <v>130208</v>
      </c>
      <c r="B206" s="40" t="s">
        <v>355</v>
      </c>
      <c r="C206" s="40" t="s">
        <v>355</v>
      </c>
      <c r="D206" s="41" t="s">
        <v>24</v>
      </c>
      <c r="E206" s="42" t="s">
        <v>237</v>
      </c>
      <c r="F206" s="42" t="s">
        <v>237</v>
      </c>
      <c r="G206" s="26">
        <f t="shared" si="42"/>
        <v>13610.35</v>
      </c>
      <c r="H206" s="26">
        <v>11731.2</v>
      </c>
      <c r="I206" s="43">
        <v>20939</v>
      </c>
      <c r="J206" s="44">
        <v>18048</v>
      </c>
      <c r="K206" s="44">
        <v>17538</v>
      </c>
      <c r="L206" s="43">
        <v>11790</v>
      </c>
      <c r="M206" s="44">
        <v>12430</v>
      </c>
      <c r="N206" s="44">
        <v>13272</v>
      </c>
      <c r="O206" s="43">
        <v>19455</v>
      </c>
      <c r="P206" s="44">
        <v>17554</v>
      </c>
      <c r="Q206" s="44">
        <v>21793</v>
      </c>
      <c r="R206" s="43">
        <v>4276</v>
      </c>
      <c r="S206" s="44">
        <v>4771</v>
      </c>
      <c r="T206" s="44">
        <v>4574</v>
      </c>
      <c r="U206" s="45">
        <f t="shared" si="43"/>
        <v>21366.6</v>
      </c>
      <c r="V206" s="45">
        <f t="shared" si="44"/>
        <v>13735.5</v>
      </c>
      <c r="W206" s="45">
        <f>SUM(U206*'Factors &amp; Percentages'!$E$6+V206*'Factors &amp; Percentages'!$E$7)</f>
        <v>2994.3723365938877</v>
      </c>
      <c r="X206" s="46">
        <v>0.16500000000000001</v>
      </c>
      <c r="Y206" s="45">
        <f>X206*'Factors &amp; Percentages'!$E$10</f>
        <v>2336.5599322410858</v>
      </c>
      <c r="Z206" s="47">
        <v>4.5892611289582379E-2</v>
      </c>
      <c r="AA206" s="45">
        <f>+'Factors &amp; Percentages'!E$13*Z206</f>
        <v>7649.1120373538588</v>
      </c>
      <c r="AB206" s="48">
        <v>24</v>
      </c>
      <c r="AC206" s="49">
        <v>46</v>
      </c>
      <c r="AD206" s="50">
        <v>851</v>
      </c>
      <c r="AE206" s="45">
        <f>AB206*'Factors &amp; Percentages'!$E$16+AC206*'Factors &amp; Percentages'!$E$17+AD206*'Factors &amp; Percentages'!$E$18</f>
        <v>4576.0475852651889</v>
      </c>
      <c r="AF206" s="45">
        <f t="shared" si="45"/>
        <v>17556.091891454023</v>
      </c>
      <c r="AG206" s="51">
        <f t="shared" si="46"/>
        <v>13610.35</v>
      </c>
      <c r="AH206" s="26">
        <f>IF($AL206&gt;$AF206,$AL206*(1+'Factors &amp; Percentages'!$B$3),
IF($AF206&gt;$AG206,$AG206,
IF($AF206&gt;$BOJ206,$AF206,
$AL206*(1+'Factors &amp; Percentages'!$B$3))))</f>
        <v>13610.35</v>
      </c>
      <c r="AI206" s="26">
        <f>IF(+MIN(AH206,+X206*2*AK$1)-(AL206*(1+'Factors &amp; Percentages'!B$3))&gt;0,0,+MIN(AH206,+X206*2*AK$1)-(AL206*(1+'Factors &amp; Percentages'!B$3)))</f>
        <v>0</v>
      </c>
      <c r="AJ206" s="26">
        <f t="shared" si="47"/>
        <v>13610.35</v>
      </c>
      <c r="AK206" s="51"/>
      <c r="AL206" s="52">
        <v>11731</v>
      </c>
    </row>
    <row r="207" spans="1:38" hidden="1" x14ac:dyDescent="0.25">
      <c r="A207" s="53">
        <v>130298</v>
      </c>
      <c r="B207" s="54" t="s">
        <v>173</v>
      </c>
      <c r="C207" s="54" t="s">
        <v>173</v>
      </c>
      <c r="D207" s="55" t="s">
        <v>173</v>
      </c>
      <c r="E207" s="56" t="s">
        <v>237</v>
      </c>
      <c r="F207" s="56" t="s">
        <v>239</v>
      </c>
      <c r="G207" s="64">
        <f t="shared" si="42"/>
        <v>26083.150295348187</v>
      </c>
      <c r="H207" s="64">
        <v>31978.09849212984</v>
      </c>
      <c r="I207" s="57">
        <v>38172</v>
      </c>
      <c r="J207" s="58">
        <v>35959</v>
      </c>
      <c r="K207" s="58">
        <v>27496</v>
      </c>
      <c r="L207" s="57">
        <v>44686</v>
      </c>
      <c r="M207" s="58">
        <v>35045</v>
      </c>
      <c r="N207" s="58">
        <v>13204</v>
      </c>
      <c r="O207" s="57">
        <v>374984</v>
      </c>
      <c r="P207" s="58">
        <v>368982</v>
      </c>
      <c r="Q207" s="58">
        <v>380551</v>
      </c>
      <c r="R207" s="57">
        <v>18033</v>
      </c>
      <c r="S207" s="58">
        <v>19869</v>
      </c>
      <c r="T207" s="58">
        <v>19869</v>
      </c>
      <c r="U207" s="59">
        <f t="shared" si="43"/>
        <v>39975.300000000003</v>
      </c>
      <c r="V207" s="59">
        <f t="shared" si="44"/>
        <v>82184.399999999994</v>
      </c>
      <c r="W207" s="59">
        <f>SUM(U207*'Factors &amp; Percentages'!$E$6+V207*'Factors &amp; Percentages'!$E$7)</f>
        <v>9565.2408496049029</v>
      </c>
      <c r="X207" s="60">
        <v>0.17</v>
      </c>
      <c r="Y207" s="59">
        <f>X207*'Factors &amp; Percentages'!$E$10</f>
        <v>2407.3647786726337</v>
      </c>
      <c r="Z207" s="61">
        <v>5.100401401590305E-2</v>
      </c>
      <c r="AA207" s="59">
        <f>+'Factors &amp; Percentages'!E$13*Z207</f>
        <v>8501.050748684891</v>
      </c>
      <c r="AB207" s="62">
        <v>26</v>
      </c>
      <c r="AC207" s="85">
        <v>63</v>
      </c>
      <c r="AD207" s="63">
        <v>2370</v>
      </c>
      <c r="AE207" s="59">
        <f>AB207*'Factors &amp; Percentages'!$E$16+AC207*'Factors &amp; Percentages'!$E$17+AD207*'Factors &amp; Percentages'!$E$18</f>
        <v>5609.4939183857605</v>
      </c>
      <c r="AF207" s="59">
        <f t="shared" si="45"/>
        <v>26083.150295348187</v>
      </c>
      <c r="AG207" s="65">
        <f t="shared" si="46"/>
        <v>26083.150295348187</v>
      </c>
      <c r="AH207" s="64">
        <f>IF($AL207&gt;$AF207,$AL207*(1+'Factors &amp; Percentages'!$B$3),
IF($AF207&gt;$AG207,$AG207,
IF($AF207&gt;$BOJ207,$AF207,
$AL207*(1+'Factors &amp; Percentages'!$B$3))))</f>
        <v>26083.150295348187</v>
      </c>
      <c r="AI207" s="64">
        <f>IF(+MIN(AH207,+X207*2*AK$1)-(AL207*(1+'Factors &amp; Percentages'!B$3))&gt;0,0,+MIN(AH207,+X207*2*AK$1)-(AL207*(1+'Factors &amp; Percentages'!B$3)))</f>
        <v>0</v>
      </c>
      <c r="AJ207" s="64">
        <f t="shared" si="47"/>
        <v>26083.150295348187</v>
      </c>
      <c r="AK207" s="65"/>
      <c r="AL207" s="66">
        <v>23500</v>
      </c>
    </row>
    <row r="208" spans="1:38" hidden="1" x14ac:dyDescent="0.25">
      <c r="A208" s="39">
        <v>130325</v>
      </c>
      <c r="B208" s="40"/>
      <c r="C208" s="40"/>
      <c r="D208" s="41" t="s">
        <v>30</v>
      </c>
      <c r="E208" s="42" t="s">
        <v>237</v>
      </c>
      <c r="F208" s="42" t="s">
        <v>237</v>
      </c>
      <c r="G208" s="26">
        <f t="shared" si="42"/>
        <v>6194.4762768576111</v>
      </c>
      <c r="H208" s="26">
        <v>6014.0546377258361</v>
      </c>
      <c r="I208" s="43">
        <v>52703</v>
      </c>
      <c r="J208" s="44">
        <v>52703</v>
      </c>
      <c r="K208" s="44">
        <v>55800</v>
      </c>
      <c r="L208" s="43">
        <v>35468</v>
      </c>
      <c r="M208" s="43">
        <v>35468</v>
      </c>
      <c r="N208" s="44">
        <v>28886</v>
      </c>
      <c r="O208" s="43">
        <v>0</v>
      </c>
      <c r="P208" s="44">
        <v>0</v>
      </c>
      <c r="Q208" s="44">
        <v>0</v>
      </c>
      <c r="R208" s="43">
        <v>660</v>
      </c>
      <c r="S208" s="44">
        <v>660</v>
      </c>
      <c r="T208" s="44">
        <v>2428</v>
      </c>
      <c r="U208" s="45">
        <f t="shared" si="43"/>
        <v>52769</v>
      </c>
      <c r="V208" s="45">
        <f t="shared" si="44"/>
        <v>35468</v>
      </c>
      <c r="W208" s="45">
        <f>SUM(U208*'Factors &amp; Percentages'!$E$6+V208*'Factors &amp; Percentages'!$E$7)</f>
        <v>7503.6180777096561</v>
      </c>
      <c r="X208" s="46">
        <v>0.2</v>
      </c>
      <c r="Y208" s="45">
        <f>X208*'Factors &amp; Percentages'!$E$10</f>
        <v>2832.1938572619219</v>
      </c>
      <c r="Z208" s="71"/>
      <c r="AA208" s="45">
        <f>+'Factors &amp; Percentages'!E$13*Z208</f>
        <v>0</v>
      </c>
      <c r="AB208" s="48">
        <v>20</v>
      </c>
      <c r="AC208" s="49">
        <v>42</v>
      </c>
      <c r="AD208" s="50"/>
      <c r="AE208" s="45">
        <f>AB208*'Factors &amp; Percentages'!$E$16+AC208*'Factors &amp; Percentages'!$E$17+AD208*'Factors &amp; Percentages'!$E$18</f>
        <v>3750.4062446257103</v>
      </c>
      <c r="AF208" s="45">
        <f t="shared" si="45"/>
        <v>14086.218179597288</v>
      </c>
      <c r="AG208" s="51">
        <f t="shared" si="46"/>
        <v>14086.218179597288</v>
      </c>
      <c r="AH208" s="26">
        <f>IF($AL208&gt;$AF208,$AL208*(1+'Factors &amp; Percentages'!$B$3),
IF($AF208&gt;$AG208,$AG208,
IF($AF208&gt;$BOJ208,$AF208,
$AL208*(1+'Factors &amp; Percentages'!$B$3))))</f>
        <v>14086.218179597288</v>
      </c>
      <c r="AI208" s="26">
        <f>IF(+MIN(AH208,+X208*2*AK$1)-(AL208*(1+'Factors &amp; Percentages'!B$3))&gt;0,0,+MIN(AH208,+X208*2*AK$1)-(AL208*(1+'Factors &amp; Percentages'!B$3)))</f>
        <v>0</v>
      </c>
      <c r="AJ208" s="26">
        <f>+H208*(1+'Factors &amp; Percentages'!B3)</f>
        <v>6194.4762768576111</v>
      </c>
      <c r="AK208" s="51"/>
      <c r="AL208" s="52">
        <v>2890</v>
      </c>
    </row>
    <row r="209" spans="4:38" ht="16.2" hidden="1" thickBot="1" x14ac:dyDescent="0.35">
      <c r="D209" s="76"/>
      <c r="G209" s="81">
        <v>6146557.5358080911</v>
      </c>
      <c r="H209" s="81">
        <v>5963179.860817357</v>
      </c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77"/>
      <c r="V209" s="77"/>
      <c r="W209" s="57"/>
      <c r="X209" s="78"/>
      <c r="Y209" s="57"/>
      <c r="Z209" s="79"/>
      <c r="AA209" s="57"/>
      <c r="AB209" s="80"/>
      <c r="AC209" s="80"/>
      <c r="AD209" s="80"/>
      <c r="AE209" s="57"/>
      <c r="AF209" s="57"/>
      <c r="AG209" s="57"/>
      <c r="AH209" s="57"/>
      <c r="AI209" s="57"/>
      <c r="AJ209" s="57"/>
      <c r="AK209" s="81">
        <v>0</v>
      </c>
      <c r="AL209" s="81">
        <v>4293586</v>
      </c>
    </row>
    <row r="210" spans="4:38" ht="15.6" x14ac:dyDescent="0.3">
      <c r="K210" s="77"/>
      <c r="L210" s="59"/>
      <c r="M210" s="59"/>
      <c r="N210" s="82"/>
      <c r="O210" s="59"/>
      <c r="P210" s="59"/>
      <c r="Q210" s="82"/>
      <c r="R210" s="59"/>
      <c r="S210" s="59"/>
      <c r="T210" s="82"/>
      <c r="U210" s="82"/>
      <c r="V210" s="82"/>
      <c r="W210" s="82"/>
      <c r="X210" s="83"/>
      <c r="Y210" s="82"/>
      <c r="Z210" s="83"/>
      <c r="AA210" s="82"/>
      <c r="AB210" s="83"/>
      <c r="AC210" s="83"/>
      <c r="AD210" s="83"/>
      <c r="AE210" s="82"/>
      <c r="AF210" s="82"/>
      <c r="AG210" s="82"/>
      <c r="AH210" s="84"/>
      <c r="AI210" s="84"/>
      <c r="AJ210" s="82"/>
      <c r="AK210" s="82"/>
      <c r="AL210" s="64"/>
    </row>
  </sheetData>
  <sheetProtection algorithmName="SHA-512" hashValue="IyOzfLU4Oc0+M502i4wS9IpGjkJgX9Gp57IJivpEy5Q2BAFdfzqKvIYW8ZYlqBQxR9kOSLncrj+qWAbq6wUmvw==" saltValue="JaB/HaWW0fcRDaFljzTMEQ==" spinCount="100000" sheet="1" objects="1" scenarios="1" selectLockedCells="1" autoFilter="0" selectUnlockedCells="1"/>
  <autoFilter ref="D1:F209" xr:uid="{00000000-0001-0000-0100-000000000000}">
    <filterColumn colId="1">
      <filters>
        <filter val="SUNDERLAND"/>
      </filters>
    </filterColumn>
  </autoFilter>
  <phoneticPr fontId="8" type="noConversion"/>
  <pageMargins left="0.7" right="0.7" top="0.75" bottom="0.75" header="0.3" footer="0.3"/>
  <pageSetup paperSize="8" scale="3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zoomScale="120" zoomScaleNormal="120" zoomScaleSheetLayoutView="140" workbookViewId="0">
      <selection activeCell="E18" sqref="E18"/>
    </sheetView>
  </sheetViews>
  <sheetFormatPr defaultColWidth="0" defaultRowHeight="14.4" zeroHeight="1" x14ac:dyDescent="0.3"/>
  <cols>
    <col min="1" max="1" width="39.6640625" customWidth="1"/>
    <col min="2" max="2" width="21.6640625" bestFit="1" customWidth="1"/>
    <col min="3" max="3" width="19.109375" bestFit="1" customWidth="1"/>
    <col min="4" max="4" width="17.33203125" bestFit="1" customWidth="1"/>
    <col min="5" max="5" width="15.77734375" customWidth="1"/>
    <col min="6" max="6" width="10.5546875" customWidth="1"/>
    <col min="7" max="7" width="11.6640625" hidden="1" customWidth="1"/>
    <col min="8" max="8" width="9.5546875" hidden="1" customWidth="1"/>
    <col min="9" max="9" width="8.88671875" hidden="1" customWidth="1"/>
    <col min="10" max="10" width="11.5546875" hidden="1" customWidth="1"/>
    <col min="11" max="16384" width="8.88671875" hidden="1"/>
  </cols>
  <sheetData>
    <row r="1" spans="1:9" x14ac:dyDescent="0.3">
      <c r="A1" s="6" t="s">
        <v>221</v>
      </c>
      <c r="E1" s="1"/>
      <c r="F1" s="1"/>
      <c r="G1" s="5"/>
      <c r="H1" s="1"/>
      <c r="I1" s="1"/>
    </row>
    <row r="2" spans="1:9" x14ac:dyDescent="0.3">
      <c r="A2" s="2" t="s">
        <v>214</v>
      </c>
      <c r="B2" s="21">
        <v>6529150.9056134829</v>
      </c>
      <c r="E2" s="1"/>
      <c r="F2" s="1"/>
      <c r="G2" s="5"/>
      <c r="H2" s="1"/>
      <c r="I2" s="1"/>
    </row>
    <row r="3" spans="1:9" x14ac:dyDescent="0.3">
      <c r="A3" s="2" t="s">
        <v>0</v>
      </c>
      <c r="B3" s="22">
        <v>0.03</v>
      </c>
      <c r="E3" s="1"/>
      <c r="F3" s="1"/>
      <c r="G3" s="5"/>
      <c r="H3" s="1"/>
      <c r="I3" s="1"/>
    </row>
    <row r="4" spans="1:9" x14ac:dyDescent="0.3">
      <c r="A4" s="2"/>
      <c r="B4" s="22"/>
      <c r="E4" s="1"/>
      <c r="F4" s="1"/>
      <c r="G4" s="5"/>
      <c r="H4" s="1"/>
      <c r="I4" s="1"/>
    </row>
    <row r="5" spans="1:9" x14ac:dyDescent="0.3">
      <c r="A5" s="2" t="s">
        <v>220</v>
      </c>
      <c r="B5" s="7" t="s">
        <v>219</v>
      </c>
      <c r="C5" s="8" t="s">
        <v>215</v>
      </c>
      <c r="D5" s="6" t="s">
        <v>217</v>
      </c>
      <c r="E5" s="6" t="s">
        <v>224</v>
      </c>
      <c r="H5" s="1"/>
      <c r="I5" s="1"/>
    </row>
    <row r="6" spans="1:9" x14ac:dyDescent="0.3">
      <c r="A6" s="1" t="s">
        <v>216</v>
      </c>
      <c r="B6" s="9">
        <v>0.15</v>
      </c>
      <c r="C6" s="10">
        <v>979372.63584202237</v>
      </c>
      <c r="D6" s="10">
        <v>10304702.399999997</v>
      </c>
      <c r="E6" s="19">
        <v>9.5041331406331808E-2</v>
      </c>
      <c r="H6" s="1"/>
      <c r="I6" s="1"/>
    </row>
    <row r="7" spans="1:9" x14ac:dyDescent="0.3">
      <c r="A7" s="1" t="s">
        <v>218</v>
      </c>
      <c r="B7" s="9">
        <v>0.1</v>
      </c>
      <c r="C7" s="10">
        <v>652915.09056134836</v>
      </c>
      <c r="D7" s="10">
        <v>9306284.9140000008</v>
      </c>
      <c r="E7" s="19">
        <v>7.015851079082365E-2</v>
      </c>
      <c r="H7" s="1"/>
      <c r="I7" s="1"/>
    </row>
    <row r="8" spans="1:9" ht="15" thickBot="1" x14ac:dyDescent="0.35">
      <c r="A8" s="11"/>
      <c r="B8" s="9"/>
      <c r="C8" s="14">
        <v>1632287.7264033707</v>
      </c>
      <c r="D8" s="14">
        <v>19610987.313999996</v>
      </c>
      <c r="E8" s="19"/>
      <c r="H8" s="1"/>
      <c r="I8" s="1"/>
    </row>
    <row r="9" spans="1:9" ht="15" thickTop="1" x14ac:dyDescent="0.3">
      <c r="A9" s="2" t="s">
        <v>1</v>
      </c>
      <c r="B9" s="12"/>
      <c r="C9" s="1"/>
      <c r="E9" s="20"/>
      <c r="H9" s="1"/>
      <c r="I9" s="1"/>
    </row>
    <row r="10" spans="1:9" ht="15" thickBot="1" x14ac:dyDescent="0.35">
      <c r="A10" s="1" t="s">
        <v>2</v>
      </c>
      <c r="B10" s="9">
        <v>0.25</v>
      </c>
      <c r="C10" s="14">
        <v>1632287.7264033707</v>
      </c>
      <c r="D10" s="18">
        <v>115.26666666676668</v>
      </c>
      <c r="E10" s="10">
        <v>14160.96928630961</v>
      </c>
      <c r="H10" s="1"/>
      <c r="I10" s="1"/>
    </row>
    <row r="11" spans="1:9" ht="15" thickTop="1" x14ac:dyDescent="0.3">
      <c r="A11" s="1"/>
      <c r="B11" s="9"/>
      <c r="C11" s="10"/>
      <c r="E11" s="10"/>
      <c r="H11" s="1"/>
      <c r="I11" s="1"/>
    </row>
    <row r="12" spans="1:9" x14ac:dyDescent="0.3">
      <c r="A12" s="2" t="s">
        <v>3</v>
      </c>
      <c r="B12" s="12"/>
      <c r="C12" s="1"/>
      <c r="E12" s="10"/>
      <c r="H12" s="1"/>
      <c r="I12" s="1"/>
    </row>
    <row r="13" spans="1:9" x14ac:dyDescent="0.3">
      <c r="A13" s="1" t="s">
        <v>4</v>
      </c>
      <c r="B13" s="9">
        <v>0.25</v>
      </c>
      <c r="C13" s="10">
        <v>1632287.7264033707</v>
      </c>
      <c r="D13" s="23">
        <v>9.7932865638219226</v>
      </c>
      <c r="E13" s="10">
        <v>166674.15129394058</v>
      </c>
      <c r="H13" s="1"/>
      <c r="I13" s="1"/>
    </row>
    <row r="14" spans="1:9" x14ac:dyDescent="0.3">
      <c r="A14" s="1"/>
      <c r="B14" s="9"/>
      <c r="C14" s="10"/>
      <c r="E14" s="19"/>
      <c r="H14" s="1"/>
      <c r="I14" s="1"/>
    </row>
    <row r="15" spans="1:9" x14ac:dyDescent="0.3">
      <c r="A15" s="2" t="s">
        <v>5</v>
      </c>
      <c r="B15" s="12"/>
      <c r="C15" s="1"/>
      <c r="E15" s="20"/>
      <c r="H15" s="1"/>
      <c r="I15" s="1"/>
    </row>
    <row r="16" spans="1:9" x14ac:dyDescent="0.3">
      <c r="A16" s="1" t="s">
        <v>6</v>
      </c>
      <c r="B16" s="9">
        <v>0.15</v>
      </c>
      <c r="C16" s="10">
        <v>979372.63584202237</v>
      </c>
      <c r="D16" s="17">
        <v>7293</v>
      </c>
      <c r="E16" s="10">
        <v>134.28940570986182</v>
      </c>
      <c r="H16" s="1"/>
      <c r="I16" s="1"/>
    </row>
    <row r="17" spans="1:9" x14ac:dyDescent="0.3">
      <c r="A17" s="1" t="s">
        <v>7</v>
      </c>
      <c r="B17" s="9">
        <v>0.05</v>
      </c>
      <c r="C17" s="10">
        <v>326457.54528067418</v>
      </c>
      <c r="D17" s="17">
        <v>12879</v>
      </c>
      <c r="E17" s="10">
        <v>25.348050724487475</v>
      </c>
      <c r="H17" s="1"/>
      <c r="I17" s="1"/>
    </row>
    <row r="18" spans="1:9" x14ac:dyDescent="0.3">
      <c r="A18" s="1" t="s">
        <v>8</v>
      </c>
      <c r="B18" s="9">
        <v>0.05</v>
      </c>
      <c r="C18" s="10">
        <v>326457.54528067418</v>
      </c>
      <c r="D18" s="17">
        <v>1484917</v>
      </c>
      <c r="E18" s="19">
        <v>0.2198490186863469</v>
      </c>
      <c r="H18" s="1"/>
      <c r="I18" s="1"/>
    </row>
    <row r="19" spans="1:9" ht="15" thickBot="1" x14ac:dyDescent="0.35">
      <c r="A19" s="13" t="s">
        <v>213</v>
      </c>
      <c r="B19" s="15">
        <v>1</v>
      </c>
      <c r="C19" s="16">
        <v>6529150.9056134829</v>
      </c>
      <c r="H19" s="1"/>
      <c r="I19" s="1"/>
    </row>
    <row r="20" spans="1:9" ht="15" hidden="1" thickTop="1" x14ac:dyDescent="0.3">
      <c r="A20" s="1"/>
      <c r="B20" s="3"/>
      <c r="C20" s="1"/>
      <c r="D20" s="1"/>
      <c r="E20" s="1"/>
      <c r="F20" s="1"/>
      <c r="G20" s="1"/>
      <c r="H20" s="1"/>
      <c r="I20" s="1"/>
    </row>
    <row r="21" spans="1:9" hidden="1" x14ac:dyDescent="0.3">
      <c r="A21" s="1"/>
      <c r="B21" s="4"/>
      <c r="C21" s="1"/>
      <c r="D21" s="1"/>
      <c r="E21" s="1"/>
      <c r="F21" s="1"/>
      <c r="G21" s="1"/>
      <c r="H21" s="1"/>
      <c r="I21" s="1"/>
    </row>
    <row r="22" spans="1:9" hidden="1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hidden="1" x14ac:dyDescent="0.3">
      <c r="B23" s="1"/>
      <c r="C23" s="1"/>
      <c r="D23" s="1"/>
      <c r="E23" s="1"/>
      <c r="F23" s="1"/>
      <c r="G23" s="1"/>
      <c r="H23" s="1"/>
      <c r="I23" s="1"/>
    </row>
    <row r="24" spans="1:9" hidden="1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hidden="1" x14ac:dyDescent="0.3">
      <c r="B25" s="1"/>
      <c r="C25" s="1"/>
      <c r="D25" s="1"/>
      <c r="E25" s="1"/>
      <c r="F25" s="1"/>
      <c r="G25" s="1"/>
      <c r="H25" s="1"/>
      <c r="I25" s="1"/>
    </row>
    <row r="26" spans="1:9" hidden="1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hidden="1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hidden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idden="1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hidden="1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hidden="1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hidden="1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idden="1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hidden="1" x14ac:dyDescent="0.3">
      <c r="A34" s="1"/>
      <c r="B34" s="1"/>
      <c r="C34" s="1"/>
      <c r="D34" s="1"/>
      <c r="E34" s="1"/>
      <c r="F34" s="1"/>
      <c r="G34" s="1"/>
      <c r="H34" s="1"/>
      <c r="I34" s="1"/>
    </row>
  </sheetData>
  <sheetProtection algorithmName="SHA-512" hashValue="rt8N5JmuSPsqN4rTvkqcjBX0WVYB14byq/FBT0gMZhnJbRRA0b9Cana9zwz4rrADdUDIJIgx4HGPl3wnekAZwA==" saltValue="PPq1EyjB+MfAwwKz3ZTxGQ==" spinCount="100000" sheet="1" objects="1" scenarios="1" selectLockedCells="1" selectUnlockedCells="1"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Diocese Sheet</vt:lpstr>
      <vt:lpstr>Factors &amp; Percentages</vt:lpstr>
      <vt:lpstr>'Diocese Sheet'!Print_Area</vt:lpstr>
      <vt:lpstr>'Factors &amp; Percentages'!Print_Area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Bruce</dc:creator>
  <cp:lastModifiedBy>Paul Child</cp:lastModifiedBy>
  <cp:lastPrinted>2026-08-11T13:43:16Z</cp:lastPrinted>
  <dcterms:created xsi:type="dcterms:W3CDTF">2020-12-21T11:10:20Z</dcterms:created>
  <dcterms:modified xsi:type="dcterms:W3CDTF">2026-09-01T12:13:17Z</dcterms:modified>
</cp:coreProperties>
</file>