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Guided Pledge\2024\"/>
    </mc:Choice>
  </mc:AlternateContent>
  <xr:revisionPtr revIDLastSave="0" documentId="8_{C2986B45-2345-4665-B2B6-C1FEB1573BBA}" xr6:coauthVersionLast="47" xr6:coauthVersionMax="47" xr10:uidLastSave="{00000000-0000-0000-0000-000000000000}"/>
  <workbookProtection workbookAlgorithmName="SHA-512" workbookHashValue="w2G+f5fvlTnIgMjAL8Dsw13WICqlG9t4qPDbM9YCMTHmo0W4mfVi62GjUOW3aM7UvIXMEReoXWRBH7EwbowELw==" workbookSaltValue="ylG9kMCtdp6qBr1e5opO3Q==" workbookSpinCount="100000" lockStructure="1"/>
  <bookViews>
    <workbookView xWindow="22932" yWindow="-108" windowWidth="41496" windowHeight="16776" tabRatio="789" xr2:uid="{00000000-000D-0000-FFFF-FFFF00000000}"/>
  </bookViews>
  <sheets>
    <sheet name="Diocese Base Data Sheet" sheetId="5" r:id="rId1"/>
    <sheet name="Wearmouth" sheetId="42" r:id="rId2"/>
    <sheet name="Stockton" sheetId="44" r:id="rId3"/>
    <sheet name="Stanhope" sheetId="43" r:id="rId4"/>
    <sheet name="Lanchester" sheetId="48" r:id="rId5"/>
    <sheet name="Jarrow" sheetId="47" r:id="rId6"/>
    <sheet name="Hartlepool" sheetId="46" r:id="rId7"/>
    <sheet name="Gateshead West" sheetId="45" r:id="rId8"/>
    <sheet name="Gateshead" sheetId="55" r:id="rId9"/>
    <sheet name="Easington" sheetId="54" r:id="rId10"/>
    <sheet name="Durham" sheetId="53" r:id="rId11"/>
    <sheet name="Darlington" sheetId="52" r:id="rId12"/>
    <sheet name="Chester le Street" sheetId="51" r:id="rId13"/>
    <sheet name="Barnard Castle" sheetId="50" r:id="rId14"/>
    <sheet name="Auckland" sheetId="49" r:id="rId15"/>
    <sheet name="Factors &amp; Percentages" sheetId="4" r:id="rId16"/>
  </sheets>
  <definedNames>
    <definedName name="_xlnm._FilterDatabase" localSheetId="14" hidden="1">Auckland!$C$1:$C$24</definedName>
    <definedName name="_xlnm._FilterDatabase" localSheetId="13" hidden="1">'Barnard Castle'!$C$1:$C$16</definedName>
    <definedName name="_xlnm._FilterDatabase" localSheetId="12" hidden="1">'Chester le Street'!$C$1:$C$22</definedName>
    <definedName name="_xlnm._FilterDatabase" localSheetId="11" hidden="1">Darlington!$C$1:$C$22</definedName>
    <definedName name="_xlnm._FilterDatabase" localSheetId="0" hidden="1">'Diocese Base Data Sheet'!$A$2:$A$210</definedName>
    <definedName name="_xlnm._FilterDatabase" localSheetId="10" hidden="1">Durham!$C$1:$C$30</definedName>
    <definedName name="_xlnm._FilterDatabase" localSheetId="9" hidden="1">Easington!$C$1:$C$21</definedName>
    <definedName name="_xlnm._FilterDatabase" localSheetId="8" hidden="1">Gateshead!$C$1:$C$17</definedName>
    <definedName name="_xlnm._FilterDatabase" localSheetId="7" hidden="1">'Gateshead West'!$C$1:$C$15</definedName>
    <definedName name="_xlnm._FilterDatabase" localSheetId="6" hidden="1">Hartlepool!$C$1:$C$17</definedName>
    <definedName name="_xlnm._FilterDatabase" localSheetId="5" hidden="1">Jarrow!$C$1:$C$22</definedName>
    <definedName name="_xlnm._FilterDatabase" localSheetId="4" hidden="1">Lanchester!$C$1:$C$16</definedName>
    <definedName name="_xlnm._FilterDatabase" localSheetId="3" hidden="1">Stanhope!$C$1:$C$16</definedName>
    <definedName name="_xlnm._FilterDatabase" localSheetId="2" hidden="1">Stockton!$C$1:$C$19</definedName>
    <definedName name="_xlnm._FilterDatabase" localSheetId="1" hidden="1">Wearmouth!$C$1:$C$19</definedName>
    <definedName name="_xlnm.Print_Area" localSheetId="14">Auckland!$A$2:$AJ$21</definedName>
    <definedName name="_xlnm.Print_Area" localSheetId="13">'Barnard Castle'!$A$2:$AJ$13</definedName>
    <definedName name="_xlnm.Print_Area" localSheetId="12">'Chester le Street'!$A$2:$AJ$19</definedName>
    <definedName name="_xlnm.Print_Area" localSheetId="11">Darlington!$A$2:$AJ$19</definedName>
    <definedName name="_xlnm.Print_Area" localSheetId="0">'Diocese Base Data Sheet'!$A$2:$AJ$210</definedName>
    <definedName name="_xlnm.Print_Area" localSheetId="10">Durham!$A$2:$AJ$27</definedName>
    <definedName name="_xlnm.Print_Area" localSheetId="9">Easington!$A$2:$AJ$18</definedName>
    <definedName name="_xlnm.Print_Area" localSheetId="15">'Factors &amp; Percentages'!$A$1:$E$22</definedName>
    <definedName name="_xlnm.Print_Area" localSheetId="8">Gateshead!$A$2:$AJ$14</definedName>
    <definedName name="_xlnm.Print_Area" localSheetId="7">'Gateshead West'!$A$2:$AJ$12</definedName>
    <definedName name="_xlnm.Print_Area" localSheetId="6">Hartlepool!$A$2:$AJ$14</definedName>
    <definedName name="_xlnm.Print_Area" localSheetId="5">Jarrow!$A$2:$AJ$19</definedName>
    <definedName name="_xlnm.Print_Area" localSheetId="4">Lanchester!$A$2:$AJ$13</definedName>
    <definedName name="_xlnm.Print_Area" localSheetId="3">Stanhope!$A$2:$AJ$13</definedName>
    <definedName name="_xlnm.Print_Area" localSheetId="2">Stockton!$A$2:$AJ$17</definedName>
    <definedName name="_xlnm.Print_Area" localSheetId="1">Wearmouth!$A$2:$AJ$16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AE16" i="55" l="1"/>
  <c r="U16" i="55"/>
  <c r="R16" i="55"/>
  <c r="P16" i="55"/>
  <c r="K16" i="55"/>
  <c r="J16" i="55"/>
  <c r="H16" i="55"/>
  <c r="N14" i="55"/>
  <c r="M14" i="55"/>
  <c r="G14" i="55"/>
  <c r="N13" i="55"/>
  <c r="M13" i="55"/>
  <c r="G13" i="55"/>
  <c r="N12" i="55"/>
  <c r="M12" i="55"/>
  <c r="G12" i="55"/>
  <c r="N11" i="55"/>
  <c r="M11" i="55"/>
  <c r="G11" i="55"/>
  <c r="N10" i="55"/>
  <c r="M10" i="55"/>
  <c r="N9" i="55"/>
  <c r="M9" i="55"/>
  <c r="G9" i="55"/>
  <c r="N8" i="55"/>
  <c r="M8" i="55"/>
  <c r="N7" i="55"/>
  <c r="M7" i="55"/>
  <c r="N6" i="55"/>
  <c r="M6" i="55"/>
  <c r="G6" i="55"/>
  <c r="N5" i="55"/>
  <c r="M5" i="55"/>
  <c r="N4" i="55"/>
  <c r="M4" i="55"/>
  <c r="V16" i="55"/>
  <c r="T16" i="55"/>
  <c r="N3" i="55"/>
  <c r="M3" i="55"/>
  <c r="AE20" i="54"/>
  <c r="U20" i="54"/>
  <c r="R20" i="54"/>
  <c r="P20" i="54"/>
  <c r="K20" i="54"/>
  <c r="J20" i="54"/>
  <c r="I20" i="54"/>
  <c r="H20" i="54"/>
  <c r="N18" i="54"/>
  <c r="M18" i="54"/>
  <c r="N17" i="54"/>
  <c r="M17" i="54"/>
  <c r="G17" i="54"/>
  <c r="N16" i="54"/>
  <c r="M16" i="54"/>
  <c r="N15" i="54"/>
  <c r="M15" i="54"/>
  <c r="N14" i="54"/>
  <c r="M14" i="54"/>
  <c r="N13" i="54"/>
  <c r="M13" i="54"/>
  <c r="N12" i="54"/>
  <c r="M12" i="54"/>
  <c r="N11" i="54"/>
  <c r="M11" i="54"/>
  <c r="G11" i="54"/>
  <c r="N10" i="54"/>
  <c r="M10" i="54"/>
  <c r="N9" i="54"/>
  <c r="M9" i="54"/>
  <c r="N8" i="54"/>
  <c r="M8" i="54"/>
  <c r="N7" i="54"/>
  <c r="M7" i="54"/>
  <c r="N6" i="54"/>
  <c r="M6" i="54"/>
  <c r="N5" i="54"/>
  <c r="M5" i="54"/>
  <c r="G5" i="54"/>
  <c r="N4" i="54"/>
  <c r="M4" i="54"/>
  <c r="N3" i="54"/>
  <c r="M3" i="54"/>
  <c r="V20" i="54"/>
  <c r="AE29" i="53"/>
  <c r="U29" i="53"/>
  <c r="R29" i="53"/>
  <c r="P29" i="53"/>
  <c r="K29" i="53"/>
  <c r="J29" i="53"/>
  <c r="H29" i="53"/>
  <c r="N27" i="53"/>
  <c r="M27" i="53"/>
  <c r="N26" i="53"/>
  <c r="M26" i="53"/>
  <c r="N25" i="53"/>
  <c r="M25" i="53"/>
  <c r="N24" i="53"/>
  <c r="M24" i="53"/>
  <c r="G24" i="53"/>
  <c r="V23" i="53"/>
  <c r="N23" i="53"/>
  <c r="M23" i="53"/>
  <c r="G23" i="53"/>
  <c r="V22" i="53"/>
  <c r="N22" i="53"/>
  <c r="M22" i="53"/>
  <c r="G22" i="53"/>
  <c r="N21" i="53"/>
  <c r="M21" i="53"/>
  <c r="G21" i="53"/>
  <c r="N20" i="53"/>
  <c r="M20" i="53"/>
  <c r="N19" i="53"/>
  <c r="M19" i="53"/>
  <c r="N18" i="53"/>
  <c r="M18" i="53"/>
  <c r="N17" i="53"/>
  <c r="M17" i="53"/>
  <c r="N16" i="53"/>
  <c r="M16" i="53"/>
  <c r="G16" i="53"/>
  <c r="N15" i="53"/>
  <c r="M15" i="53"/>
  <c r="N14" i="53"/>
  <c r="M14" i="53"/>
  <c r="G14" i="53"/>
  <c r="N13" i="53"/>
  <c r="M13" i="53"/>
  <c r="G13" i="53"/>
  <c r="N12" i="53"/>
  <c r="M12" i="53"/>
  <c r="N11" i="53"/>
  <c r="M11" i="53"/>
  <c r="G11" i="53"/>
  <c r="N10" i="53"/>
  <c r="M10" i="53"/>
  <c r="G10" i="53"/>
  <c r="N9" i="53"/>
  <c r="M9" i="53"/>
  <c r="T8" i="53"/>
  <c r="N8" i="53"/>
  <c r="M8" i="53"/>
  <c r="N7" i="53"/>
  <c r="M7" i="53"/>
  <c r="G7" i="53"/>
  <c r="N6" i="53"/>
  <c r="M6" i="53"/>
  <c r="G6" i="53"/>
  <c r="N5" i="53"/>
  <c r="M5" i="53"/>
  <c r="G5" i="53"/>
  <c r="N4" i="53"/>
  <c r="M4" i="53"/>
  <c r="G4" i="53"/>
  <c r="N3" i="53"/>
  <c r="M3" i="53"/>
  <c r="AE21" i="52"/>
  <c r="U21" i="52"/>
  <c r="R21" i="52"/>
  <c r="P21" i="52"/>
  <c r="K21" i="52"/>
  <c r="J21" i="52"/>
  <c r="I21" i="52"/>
  <c r="H21" i="52"/>
  <c r="N19" i="52"/>
  <c r="M19" i="52"/>
  <c r="N18" i="52"/>
  <c r="M18" i="52"/>
  <c r="G18" i="52"/>
  <c r="N17" i="52"/>
  <c r="M17" i="52"/>
  <c r="N16" i="52"/>
  <c r="M16" i="52"/>
  <c r="N15" i="52"/>
  <c r="M15" i="52"/>
  <c r="G15" i="52"/>
  <c r="N14" i="52"/>
  <c r="M14" i="52"/>
  <c r="N13" i="52"/>
  <c r="M13" i="52"/>
  <c r="N12" i="52"/>
  <c r="M12" i="52"/>
  <c r="N11" i="52"/>
  <c r="M11" i="52"/>
  <c r="N10" i="52"/>
  <c r="M10" i="52"/>
  <c r="N9" i="52"/>
  <c r="M9" i="52"/>
  <c r="N8" i="52"/>
  <c r="M8" i="52"/>
  <c r="N7" i="52"/>
  <c r="M7" i="52"/>
  <c r="G7" i="52"/>
  <c r="N6" i="52"/>
  <c r="M6" i="52"/>
  <c r="G6" i="52"/>
  <c r="N5" i="52"/>
  <c r="M5" i="52"/>
  <c r="N4" i="52"/>
  <c r="M4" i="52"/>
  <c r="T3" i="52"/>
  <c r="N3" i="52"/>
  <c r="M3" i="52"/>
  <c r="G3" i="52"/>
  <c r="V21" i="52"/>
  <c r="T21" i="52"/>
  <c r="AE21" i="51"/>
  <c r="U21" i="51"/>
  <c r="R21" i="51"/>
  <c r="P21" i="51"/>
  <c r="K21" i="51"/>
  <c r="J21" i="51"/>
  <c r="H21" i="51"/>
  <c r="N19" i="51"/>
  <c r="M19" i="51"/>
  <c r="G19" i="51"/>
  <c r="N18" i="51"/>
  <c r="M18" i="51"/>
  <c r="N17" i="51"/>
  <c r="M17" i="51"/>
  <c r="G17" i="51"/>
  <c r="N16" i="51"/>
  <c r="M16" i="51"/>
  <c r="I21" i="51"/>
  <c r="N15" i="51"/>
  <c r="M15" i="51"/>
  <c r="N14" i="51"/>
  <c r="M14" i="51"/>
  <c r="G14" i="51"/>
  <c r="N13" i="51"/>
  <c r="M13" i="51"/>
  <c r="N12" i="51"/>
  <c r="M12" i="51"/>
  <c r="N11" i="51"/>
  <c r="M11" i="51"/>
  <c r="G11" i="51"/>
  <c r="N10" i="51"/>
  <c r="M10" i="51"/>
  <c r="N9" i="51"/>
  <c r="M9" i="51"/>
  <c r="G9" i="51"/>
  <c r="N8" i="51"/>
  <c r="M8" i="51"/>
  <c r="G8" i="51"/>
  <c r="N7" i="51"/>
  <c r="M7" i="51"/>
  <c r="N6" i="51"/>
  <c r="M6" i="51"/>
  <c r="N5" i="51"/>
  <c r="M5" i="51"/>
  <c r="G5" i="51"/>
  <c r="N4" i="51"/>
  <c r="M4" i="51"/>
  <c r="N3" i="51"/>
  <c r="M3" i="51"/>
  <c r="AE15" i="50"/>
  <c r="U15" i="50"/>
  <c r="R15" i="50"/>
  <c r="P15" i="50"/>
  <c r="K15" i="50"/>
  <c r="J15" i="50"/>
  <c r="H15" i="50"/>
  <c r="N13" i="50"/>
  <c r="M13" i="50"/>
  <c r="N12" i="50"/>
  <c r="M12" i="50"/>
  <c r="N11" i="50"/>
  <c r="M11" i="50"/>
  <c r="G11" i="50"/>
  <c r="N10" i="50"/>
  <c r="M10" i="50"/>
  <c r="N9" i="50"/>
  <c r="M9" i="50"/>
  <c r="N8" i="50"/>
  <c r="M8" i="50"/>
  <c r="N7" i="50"/>
  <c r="M7" i="50"/>
  <c r="N6" i="50"/>
  <c r="M6" i="50"/>
  <c r="N5" i="50"/>
  <c r="M5" i="50"/>
  <c r="G5" i="50"/>
  <c r="N4" i="50"/>
  <c r="M4" i="50"/>
  <c r="N3" i="50"/>
  <c r="M3" i="50"/>
  <c r="AE23" i="49"/>
  <c r="U23" i="49"/>
  <c r="R23" i="49"/>
  <c r="P23" i="49"/>
  <c r="K23" i="49"/>
  <c r="J23" i="49"/>
  <c r="H23" i="49"/>
  <c r="V21" i="49"/>
  <c r="N21" i="49"/>
  <c r="M21" i="49"/>
  <c r="G21" i="49"/>
  <c r="N20" i="49"/>
  <c r="M20" i="49"/>
  <c r="G20" i="49"/>
  <c r="N19" i="49"/>
  <c r="M19" i="49"/>
  <c r="G19" i="49"/>
  <c r="N18" i="49"/>
  <c r="M18" i="49"/>
  <c r="N17" i="49"/>
  <c r="M17" i="49"/>
  <c r="N16" i="49"/>
  <c r="M16" i="49"/>
  <c r="G16" i="49"/>
  <c r="N15" i="49"/>
  <c r="M15" i="49"/>
  <c r="N14" i="49"/>
  <c r="M14" i="49"/>
  <c r="N13" i="49"/>
  <c r="M13" i="49"/>
  <c r="G13" i="49"/>
  <c r="T12" i="49"/>
  <c r="N12" i="49"/>
  <c r="M12" i="49"/>
  <c r="G12" i="49"/>
  <c r="N11" i="49"/>
  <c r="M11" i="49"/>
  <c r="N10" i="49"/>
  <c r="M10" i="49"/>
  <c r="N9" i="49"/>
  <c r="M9" i="49"/>
  <c r="N8" i="49"/>
  <c r="M8" i="49"/>
  <c r="N7" i="49"/>
  <c r="M7" i="49"/>
  <c r="N6" i="49"/>
  <c r="M6" i="49"/>
  <c r="N5" i="49"/>
  <c r="M5" i="49"/>
  <c r="V4" i="49"/>
  <c r="V23" i="49" s="1"/>
  <c r="N4" i="49"/>
  <c r="M4" i="49"/>
  <c r="G4" i="49"/>
  <c r="N3" i="49"/>
  <c r="M3" i="49"/>
  <c r="G3" i="49"/>
  <c r="AE15" i="48"/>
  <c r="U15" i="48"/>
  <c r="R15" i="48"/>
  <c r="P15" i="48"/>
  <c r="K15" i="48"/>
  <c r="J15" i="48"/>
  <c r="H15" i="48"/>
  <c r="N13" i="48"/>
  <c r="M13" i="48"/>
  <c r="N12" i="48"/>
  <c r="M12" i="48"/>
  <c r="G12" i="48"/>
  <c r="N11" i="48"/>
  <c r="M11" i="48"/>
  <c r="G11" i="48"/>
  <c r="N10" i="48"/>
  <c r="M10" i="48"/>
  <c r="N9" i="48"/>
  <c r="M9" i="48"/>
  <c r="G9" i="48"/>
  <c r="N8" i="48"/>
  <c r="M8" i="48"/>
  <c r="G8" i="48"/>
  <c r="N7" i="48"/>
  <c r="M7" i="48"/>
  <c r="G7" i="48"/>
  <c r="N6" i="48"/>
  <c r="M6" i="48"/>
  <c r="N5" i="48"/>
  <c r="M5" i="48"/>
  <c r="N4" i="48"/>
  <c r="M4" i="48"/>
  <c r="G4" i="48"/>
  <c r="V15" i="48"/>
  <c r="N3" i="48"/>
  <c r="M3" i="48"/>
  <c r="AE21" i="47"/>
  <c r="U21" i="47"/>
  <c r="R21" i="47"/>
  <c r="P21" i="47"/>
  <c r="K21" i="47"/>
  <c r="J21" i="47"/>
  <c r="H21" i="47"/>
  <c r="N19" i="47"/>
  <c r="M19" i="47"/>
  <c r="N18" i="47"/>
  <c r="M18" i="47"/>
  <c r="N17" i="47"/>
  <c r="M17" i="47"/>
  <c r="N16" i="47"/>
  <c r="M16" i="47"/>
  <c r="G16" i="47"/>
  <c r="N15" i="47"/>
  <c r="M15" i="47"/>
  <c r="N14" i="47"/>
  <c r="M14" i="47"/>
  <c r="N13" i="47"/>
  <c r="M13" i="47"/>
  <c r="N12" i="47"/>
  <c r="M12" i="47"/>
  <c r="G12" i="47"/>
  <c r="N11" i="47"/>
  <c r="M11" i="47"/>
  <c r="N10" i="47"/>
  <c r="M10" i="47"/>
  <c r="N9" i="47"/>
  <c r="M9" i="47"/>
  <c r="N8" i="47"/>
  <c r="M8" i="47"/>
  <c r="G8" i="47"/>
  <c r="N7" i="47"/>
  <c r="M7" i="47"/>
  <c r="N6" i="47"/>
  <c r="M6" i="47"/>
  <c r="N5" i="47"/>
  <c r="M5" i="47"/>
  <c r="N4" i="47"/>
  <c r="M4" i="47"/>
  <c r="G4" i="47"/>
  <c r="N3" i="47"/>
  <c r="M3" i="47"/>
  <c r="V21" i="47"/>
  <c r="T21" i="47"/>
  <c r="AE16" i="46"/>
  <c r="U16" i="46"/>
  <c r="R16" i="46"/>
  <c r="P16" i="46"/>
  <c r="K16" i="46"/>
  <c r="J16" i="46"/>
  <c r="H16" i="46"/>
  <c r="N14" i="46"/>
  <c r="M14" i="46"/>
  <c r="G14" i="46"/>
  <c r="I16" i="46"/>
  <c r="N13" i="46"/>
  <c r="M13" i="46"/>
  <c r="G13" i="46"/>
  <c r="N12" i="46"/>
  <c r="M12" i="46"/>
  <c r="N11" i="46"/>
  <c r="M11" i="46"/>
  <c r="N10" i="46"/>
  <c r="M10" i="46"/>
  <c r="N9" i="46"/>
  <c r="M9" i="46"/>
  <c r="N8" i="46"/>
  <c r="M8" i="46"/>
  <c r="G8" i="46"/>
  <c r="N7" i="46"/>
  <c r="M7" i="46"/>
  <c r="N6" i="46"/>
  <c r="M6" i="46"/>
  <c r="G6" i="46"/>
  <c r="N5" i="46"/>
  <c r="M5" i="46"/>
  <c r="N4" i="46"/>
  <c r="M4" i="46"/>
  <c r="N3" i="46"/>
  <c r="M3" i="46"/>
  <c r="V16" i="46"/>
  <c r="AE14" i="45"/>
  <c r="U14" i="45"/>
  <c r="R14" i="45"/>
  <c r="P14" i="45"/>
  <c r="K14" i="45"/>
  <c r="J14" i="45"/>
  <c r="H14" i="45"/>
  <c r="N12" i="45"/>
  <c r="M12" i="45"/>
  <c r="G12" i="45"/>
  <c r="N11" i="45"/>
  <c r="M11" i="45"/>
  <c r="G11" i="45"/>
  <c r="N10" i="45"/>
  <c r="M10" i="45"/>
  <c r="G10" i="45"/>
  <c r="I14" i="45"/>
  <c r="N9" i="45"/>
  <c r="M9" i="45"/>
  <c r="G9" i="45"/>
  <c r="N8" i="45"/>
  <c r="M8" i="45"/>
  <c r="G8" i="45"/>
  <c r="N7" i="45"/>
  <c r="M7" i="45"/>
  <c r="G7" i="45"/>
  <c r="N6" i="45"/>
  <c r="M6" i="45"/>
  <c r="G6" i="45"/>
  <c r="N5" i="45"/>
  <c r="M5" i="45"/>
  <c r="N4" i="45"/>
  <c r="M4" i="45"/>
  <c r="N3" i="45"/>
  <c r="M3" i="45"/>
  <c r="G3" i="45"/>
  <c r="T14" i="45"/>
  <c r="AE18" i="44"/>
  <c r="U18" i="44"/>
  <c r="R18" i="44"/>
  <c r="P18" i="44"/>
  <c r="K18" i="44"/>
  <c r="J18" i="44"/>
  <c r="H18" i="44"/>
  <c r="N17" i="44"/>
  <c r="M17" i="44"/>
  <c r="N16" i="44"/>
  <c r="M16" i="44"/>
  <c r="G16" i="44"/>
  <c r="N15" i="44"/>
  <c r="M15" i="44"/>
  <c r="G15" i="44"/>
  <c r="N14" i="44"/>
  <c r="M14" i="44"/>
  <c r="G14" i="44"/>
  <c r="N13" i="44"/>
  <c r="M13" i="44"/>
  <c r="I13" i="44"/>
  <c r="N12" i="44"/>
  <c r="M12" i="44"/>
  <c r="G12" i="44"/>
  <c r="N11" i="44"/>
  <c r="M11" i="44"/>
  <c r="G11" i="44"/>
  <c r="N10" i="44"/>
  <c r="M10" i="44"/>
  <c r="G10" i="44"/>
  <c r="N9" i="44"/>
  <c r="M9" i="44"/>
  <c r="G9" i="44"/>
  <c r="N8" i="44"/>
  <c r="M8" i="44"/>
  <c r="G8" i="44"/>
  <c r="N7" i="44"/>
  <c r="M7" i="44"/>
  <c r="G7" i="44"/>
  <c r="N6" i="44"/>
  <c r="M6" i="44"/>
  <c r="N5" i="44"/>
  <c r="M5" i="44"/>
  <c r="N4" i="44"/>
  <c r="M4" i="44"/>
  <c r="G4" i="44"/>
  <c r="T3" i="44"/>
  <c r="N3" i="44"/>
  <c r="M3" i="44"/>
  <c r="AE15" i="43"/>
  <c r="U15" i="43"/>
  <c r="R15" i="43"/>
  <c r="P15" i="43"/>
  <c r="K15" i="43"/>
  <c r="J15" i="43"/>
  <c r="I15" i="43"/>
  <c r="H15" i="43"/>
  <c r="N13" i="43"/>
  <c r="M13" i="43"/>
  <c r="N12" i="43"/>
  <c r="M12" i="43"/>
  <c r="G12" i="43"/>
  <c r="N11" i="43"/>
  <c r="M11" i="43"/>
  <c r="N10" i="43"/>
  <c r="M10" i="43"/>
  <c r="N9" i="43"/>
  <c r="M9" i="43"/>
  <c r="G9" i="43"/>
  <c r="N8" i="43"/>
  <c r="M8" i="43"/>
  <c r="N7" i="43"/>
  <c r="M7" i="43"/>
  <c r="G7" i="43"/>
  <c r="N6" i="43"/>
  <c r="M6" i="43"/>
  <c r="G6" i="43"/>
  <c r="N5" i="43"/>
  <c r="M5" i="43"/>
  <c r="N4" i="43"/>
  <c r="M4" i="43"/>
  <c r="N3" i="43"/>
  <c r="M3" i="43"/>
  <c r="G3" i="43"/>
  <c r="T15" i="43"/>
  <c r="AE18" i="42"/>
  <c r="U18" i="42"/>
  <c r="R18" i="42"/>
  <c r="P18" i="42"/>
  <c r="K18" i="42"/>
  <c r="J18" i="42"/>
  <c r="H18" i="42"/>
  <c r="N16" i="42"/>
  <c r="M16" i="42"/>
  <c r="N15" i="42"/>
  <c r="M15" i="42"/>
  <c r="N14" i="42"/>
  <c r="M14" i="42"/>
  <c r="N13" i="42"/>
  <c r="M13" i="42"/>
  <c r="N12" i="42"/>
  <c r="M12" i="42"/>
  <c r="G12" i="42"/>
  <c r="N11" i="42"/>
  <c r="M11" i="42"/>
  <c r="G11" i="42"/>
  <c r="T10" i="42"/>
  <c r="N10" i="42"/>
  <c r="M10" i="42"/>
  <c r="V9" i="42"/>
  <c r="N9" i="42"/>
  <c r="M9" i="42"/>
  <c r="G9" i="42"/>
  <c r="N8" i="42"/>
  <c r="M8" i="42"/>
  <c r="G8" i="42"/>
  <c r="N7" i="42"/>
  <c r="M7" i="42"/>
  <c r="G7" i="42"/>
  <c r="N6" i="42"/>
  <c r="M6" i="42"/>
  <c r="N5" i="42"/>
  <c r="M5" i="42"/>
  <c r="N4" i="42"/>
  <c r="M4" i="42"/>
  <c r="N3" i="42"/>
  <c r="M3" i="42"/>
  <c r="G3" i="42"/>
  <c r="V18" i="42"/>
  <c r="G210" i="5"/>
  <c r="G208" i="5"/>
  <c r="G205" i="5"/>
  <c r="G203" i="5"/>
  <c r="G202" i="5"/>
  <c r="G201" i="5"/>
  <c r="G199" i="5"/>
  <c r="G198" i="5"/>
  <c r="G197" i="5"/>
  <c r="G194" i="5"/>
  <c r="G190" i="5"/>
  <c r="G184" i="5"/>
  <c r="G179" i="5"/>
  <c r="G178" i="5"/>
  <c r="G177" i="5"/>
  <c r="G176" i="5"/>
  <c r="G174" i="5"/>
  <c r="G173" i="5"/>
  <c r="G172" i="5"/>
  <c r="G171" i="5"/>
  <c r="G170" i="5"/>
  <c r="G167" i="5"/>
  <c r="G164" i="5"/>
  <c r="G159" i="5"/>
  <c r="G157" i="5"/>
  <c r="G156" i="5"/>
  <c r="G155" i="5"/>
  <c r="G152" i="5"/>
  <c r="G151" i="5"/>
  <c r="G150" i="5"/>
  <c r="G149" i="5"/>
  <c r="G147" i="5"/>
  <c r="G146" i="5"/>
  <c r="G132" i="5"/>
  <c r="G143" i="5"/>
  <c r="G141" i="5"/>
  <c r="G139" i="5"/>
  <c r="G136" i="5"/>
  <c r="G130" i="5"/>
  <c r="G128" i="5"/>
  <c r="G124" i="5"/>
  <c r="G121" i="5"/>
  <c r="G120" i="5"/>
  <c r="G118" i="5"/>
  <c r="G116" i="5"/>
  <c r="G113" i="5"/>
  <c r="G112" i="5"/>
  <c r="G109" i="5"/>
  <c r="G108" i="5"/>
  <c r="G107" i="5"/>
  <c r="G105" i="5"/>
  <c r="G104" i="5"/>
  <c r="G103" i="5"/>
  <c r="G100" i="5"/>
  <c r="G91" i="5"/>
  <c r="G89" i="5"/>
  <c r="G86" i="5"/>
  <c r="G85" i="5"/>
  <c r="G84" i="5"/>
  <c r="G82" i="5"/>
  <c r="G81" i="5"/>
  <c r="G80" i="5"/>
  <c r="G77" i="5"/>
  <c r="G73" i="5"/>
  <c r="G64" i="5"/>
  <c r="G63" i="5"/>
  <c r="G62" i="5"/>
  <c r="G57" i="5"/>
  <c r="G56" i="5"/>
  <c r="G55" i="5"/>
  <c r="G53" i="5"/>
  <c r="G52" i="5"/>
  <c r="G44" i="5"/>
  <c r="G43" i="5"/>
  <c r="G40" i="5"/>
  <c r="G31" i="5"/>
  <c r="G28" i="5"/>
  <c r="G27" i="5"/>
  <c r="G24" i="5"/>
  <c r="G22" i="5"/>
  <c r="G21" i="5"/>
  <c r="G18" i="5"/>
  <c r="G17" i="5"/>
  <c r="G12" i="5"/>
  <c r="G11" i="5"/>
  <c r="G6" i="5"/>
  <c r="G3" i="5"/>
  <c r="G140" i="5"/>
  <c r="T18" i="42" l="1"/>
  <c r="T23" i="49"/>
  <c r="G23" i="49"/>
  <c r="M23" i="49"/>
  <c r="N23" i="49"/>
  <c r="I23" i="49"/>
  <c r="N15" i="50"/>
  <c r="V21" i="51"/>
  <c r="G15" i="50"/>
  <c r="T15" i="50"/>
  <c r="M21" i="51"/>
  <c r="M15" i="50"/>
  <c r="V15" i="50"/>
  <c r="I15" i="50"/>
  <c r="T21" i="51"/>
  <c r="G21" i="51"/>
  <c r="G21" i="52"/>
  <c r="N21" i="52"/>
  <c r="M21" i="52"/>
  <c r="G29" i="53"/>
  <c r="M29" i="53"/>
  <c r="V29" i="53"/>
  <c r="I29" i="53"/>
  <c r="T29" i="53"/>
  <c r="T20" i="54"/>
  <c r="M20" i="54"/>
  <c r="G20" i="54"/>
  <c r="N20" i="54"/>
  <c r="M16" i="55"/>
  <c r="N16" i="55"/>
  <c r="G16" i="55"/>
  <c r="I16" i="55"/>
  <c r="G14" i="45"/>
  <c r="M14" i="45"/>
  <c r="V14" i="45"/>
  <c r="N16" i="46"/>
  <c r="T16" i="46"/>
  <c r="G16" i="46"/>
  <c r="M16" i="46"/>
  <c r="N21" i="47"/>
  <c r="M21" i="47"/>
  <c r="I21" i="47"/>
  <c r="G21" i="47"/>
  <c r="M15" i="48"/>
  <c r="T15" i="48"/>
  <c r="G15" i="48"/>
  <c r="N15" i="48"/>
  <c r="I15" i="48"/>
  <c r="G15" i="43"/>
  <c r="M18" i="44"/>
  <c r="M15" i="43"/>
  <c r="V15" i="43"/>
  <c r="N15" i="43"/>
  <c r="V18" i="44"/>
  <c r="T18" i="44"/>
  <c r="G18" i="44"/>
  <c r="N18" i="44"/>
  <c r="I18" i="44"/>
  <c r="M18" i="42"/>
  <c r="G18" i="42"/>
  <c r="N18" i="42"/>
  <c r="I18" i="42"/>
  <c r="G212" i="5"/>
  <c r="M5" i="5"/>
  <c r="T9" i="5"/>
  <c r="M10" i="5"/>
  <c r="V11" i="5"/>
  <c r="N12" i="5"/>
  <c r="N13" i="5"/>
  <c r="M13" i="5"/>
  <c r="T17" i="5"/>
  <c r="T37" i="5"/>
  <c r="M50" i="5"/>
  <c r="M58" i="5"/>
  <c r="N58" i="5"/>
  <c r="T82" i="5"/>
  <c r="M96" i="5"/>
  <c r="N96" i="5"/>
  <c r="T133" i="5"/>
  <c r="V132" i="5"/>
  <c r="M148" i="5"/>
  <c r="N148" i="5"/>
  <c r="V156" i="5"/>
  <c r="M157" i="5"/>
  <c r="N157" i="5"/>
  <c r="V157" i="5"/>
  <c r="M160" i="5"/>
  <c r="N160" i="5"/>
  <c r="M167" i="5"/>
  <c r="M169" i="5"/>
  <c r="I175" i="5"/>
  <c r="V179" i="5"/>
  <c r="M185" i="5"/>
  <c r="N185" i="5"/>
  <c r="V210" i="5"/>
  <c r="P212" i="5"/>
  <c r="D10" i="4" s="1"/>
  <c r="R212" i="5"/>
  <c r="D13" i="4" s="1"/>
  <c r="U212" i="5"/>
  <c r="AE212" i="5"/>
  <c r="N21" i="51" l="1"/>
  <c r="N29" i="53"/>
  <c r="N14" i="45"/>
  <c r="N109" i="5"/>
  <c r="N46" i="5"/>
  <c r="N38" i="5"/>
  <c r="N199" i="5"/>
  <c r="N154" i="5"/>
  <c r="N152" i="5"/>
  <c r="N56" i="5"/>
  <c r="N22" i="5"/>
  <c r="M8" i="5"/>
  <c r="N197" i="5"/>
  <c r="M125" i="5"/>
  <c r="M39" i="5"/>
  <c r="N92" i="5"/>
  <c r="N5" i="5"/>
  <c r="N189" i="5"/>
  <c r="M154" i="5"/>
  <c r="M78" i="5"/>
  <c r="M153" i="5"/>
  <c r="T212" i="5"/>
  <c r="N155" i="5"/>
  <c r="M52" i="5"/>
  <c r="N127" i="5"/>
  <c r="M147" i="5"/>
  <c r="N135" i="5"/>
  <c r="N128" i="5"/>
  <c r="N198" i="5"/>
  <c r="M146" i="5"/>
  <c r="N129" i="5"/>
  <c r="N41" i="5"/>
  <c r="V212" i="5"/>
  <c r="M176" i="5"/>
  <c r="M166" i="5"/>
  <c r="M138" i="5"/>
  <c r="M128" i="5"/>
  <c r="N83" i="5"/>
  <c r="N57" i="5"/>
  <c r="M121" i="5"/>
  <c r="M119" i="5"/>
  <c r="M36" i="5"/>
  <c r="N167" i="5"/>
  <c r="N165" i="5"/>
  <c r="N153" i="5"/>
  <c r="N54" i="5"/>
  <c r="N76" i="5"/>
  <c r="M188" i="5"/>
  <c r="N112" i="5"/>
  <c r="N104" i="5"/>
  <c r="M33" i="5"/>
  <c r="N11" i="5"/>
  <c r="N19" i="5"/>
  <c r="M184" i="5"/>
  <c r="M120" i="5"/>
  <c r="M116" i="5"/>
  <c r="M112" i="5"/>
  <c r="M81" i="5"/>
  <c r="M61" i="5"/>
  <c r="M18" i="5"/>
  <c r="M204" i="5"/>
  <c r="N192" i="5"/>
  <c r="M178" i="5"/>
  <c r="M115" i="5"/>
  <c r="M43" i="5"/>
  <c r="N21" i="5"/>
  <c r="M203" i="5"/>
  <c r="N29" i="5"/>
  <c r="M195" i="5"/>
  <c r="N190" i="5"/>
  <c r="N6" i="5"/>
  <c r="M190" i="5"/>
  <c r="M186" i="5"/>
  <c r="M133" i="5"/>
  <c r="N105" i="5"/>
  <c r="M91" i="5"/>
  <c r="N73" i="5"/>
  <c r="N67" i="5"/>
  <c r="N65" i="5"/>
  <c r="N42" i="5"/>
  <c r="M174" i="5"/>
  <c r="M105" i="5"/>
  <c r="M67" i="5"/>
  <c r="M40" i="5"/>
  <c r="N17" i="5"/>
  <c r="N113" i="5"/>
  <c r="N93" i="5"/>
  <c r="N20" i="5"/>
  <c r="M199" i="5"/>
  <c r="M168" i="5"/>
  <c r="M106" i="5"/>
  <c r="M103" i="5"/>
  <c r="M97" i="5"/>
  <c r="M70" i="5"/>
  <c r="N48" i="5"/>
  <c r="N45" i="5"/>
  <c r="M17" i="5"/>
  <c r="N149" i="5"/>
  <c r="N210" i="5"/>
  <c r="N208" i="5"/>
  <c r="M197" i="5"/>
  <c r="M180" i="5"/>
  <c r="N171" i="5"/>
  <c r="M122" i="5"/>
  <c r="N106" i="5"/>
  <c r="M98" i="5"/>
  <c r="N74" i="5"/>
  <c r="N43" i="5"/>
  <c r="M30" i="5"/>
  <c r="N25" i="5"/>
  <c r="N91" i="5"/>
  <c r="M54" i="5"/>
  <c r="M28" i="5"/>
  <c r="M26" i="5"/>
  <c r="M23" i="5"/>
  <c r="N123" i="5"/>
  <c r="N33" i="5"/>
  <c r="N31" i="5"/>
  <c r="M24" i="5"/>
  <c r="M22" i="5"/>
  <c r="M193" i="5"/>
  <c r="M173" i="5"/>
  <c r="N162" i="5"/>
  <c r="M110" i="5"/>
  <c r="N79" i="5"/>
  <c r="N70" i="5"/>
  <c r="M59" i="5"/>
  <c r="M55" i="5"/>
  <c r="M21" i="5"/>
  <c r="N18" i="5"/>
  <c r="N180" i="5"/>
  <c r="N125" i="5"/>
  <c r="N55" i="5"/>
  <c r="N201" i="5"/>
  <c r="M191" i="5"/>
  <c r="N176" i="5"/>
  <c r="M164" i="5"/>
  <c r="N159" i="5"/>
  <c r="M144" i="5"/>
  <c r="M72" i="5"/>
  <c r="M68" i="5"/>
  <c r="M4" i="5"/>
  <c r="M140" i="5"/>
  <c r="M207" i="5"/>
  <c r="M163" i="5"/>
  <c r="M143" i="5"/>
  <c r="M117" i="5"/>
  <c r="M95" i="5"/>
  <c r="N77" i="5"/>
  <c r="M71" i="5"/>
  <c r="N66" i="5"/>
  <c r="M53" i="5"/>
  <c r="N47" i="5"/>
  <c r="M20" i="5"/>
  <c r="N24" i="5"/>
  <c r="M19" i="5"/>
  <c r="N7" i="5"/>
  <c r="M46" i="5"/>
  <c r="N173" i="5"/>
  <c r="N85" i="5"/>
  <c r="M201" i="5"/>
  <c r="N170" i="5"/>
  <c r="M142" i="5"/>
  <c r="M139" i="5"/>
  <c r="N131" i="5"/>
  <c r="N111" i="5"/>
  <c r="M93" i="5"/>
  <c r="N86" i="5"/>
  <c r="N84" i="5"/>
  <c r="M66" i="5"/>
  <c r="N64" i="5"/>
  <c r="M51" i="5"/>
  <c r="N44" i="5"/>
  <c r="M34" i="5"/>
  <c r="M14" i="5"/>
  <c r="J212" i="5"/>
  <c r="M187" i="5"/>
  <c r="M158" i="5"/>
  <c r="M131" i="5"/>
  <c r="M124" i="5"/>
  <c r="M111" i="5"/>
  <c r="N101" i="5"/>
  <c r="M90" i="5"/>
  <c r="M86" i="5"/>
  <c r="M75" i="5"/>
  <c r="M62" i="5"/>
  <c r="M44" i="5"/>
  <c r="M25" i="5"/>
  <c r="M179" i="5"/>
  <c r="N177" i="5"/>
  <c r="N40" i="5"/>
  <c r="N8" i="5"/>
  <c r="N179" i="5"/>
  <c r="M170" i="5"/>
  <c r="M152" i="5"/>
  <c r="N209" i="5"/>
  <c r="M145" i="5"/>
  <c r="N200" i="5"/>
  <c r="N191" i="5"/>
  <c r="M172" i="5"/>
  <c r="M156" i="5"/>
  <c r="N194" i="5"/>
  <c r="N164" i="5"/>
  <c r="N9" i="5"/>
  <c r="N130" i="5"/>
  <c r="M165" i="5"/>
  <c r="N163" i="5"/>
  <c r="N146" i="5"/>
  <c r="M137" i="5"/>
  <c r="N133" i="5"/>
  <c r="M130" i="5"/>
  <c r="N118" i="5"/>
  <c r="N95" i="5"/>
  <c r="M88" i="5"/>
  <c r="M82" i="5"/>
  <c r="M77" i="5"/>
  <c r="M76" i="5"/>
  <c r="M73" i="5"/>
  <c r="M64" i="5"/>
  <c r="N50" i="5"/>
  <c r="M3" i="5"/>
  <c r="N139" i="5"/>
  <c r="M205" i="5"/>
  <c r="N188" i="5"/>
  <c r="M182" i="5"/>
  <c r="M181" i="5"/>
  <c r="N174" i="5"/>
  <c r="N169" i="5"/>
  <c r="M162" i="5"/>
  <c r="N158" i="5"/>
  <c r="M155" i="5"/>
  <c r="M150" i="5"/>
  <c r="M132" i="5"/>
  <c r="N142" i="5"/>
  <c r="N134" i="5"/>
  <c r="M129" i="5"/>
  <c r="N124" i="5"/>
  <c r="M123" i="5"/>
  <c r="M118" i="5"/>
  <c r="M113" i="5"/>
  <c r="M109" i="5"/>
  <c r="M100" i="5"/>
  <c r="M89" i="5"/>
  <c r="M83" i="5"/>
  <c r="M57" i="5"/>
  <c r="N49" i="5"/>
  <c r="M41" i="5"/>
  <c r="M38" i="5"/>
  <c r="M16" i="5"/>
  <c r="M12" i="5"/>
  <c r="N196" i="5"/>
  <c r="N68" i="5"/>
  <c r="M206" i="5"/>
  <c r="N195" i="5"/>
  <c r="N202" i="5"/>
  <c r="N181" i="5"/>
  <c r="M161" i="5"/>
  <c r="M151" i="5"/>
  <c r="N144" i="5"/>
  <c r="N102" i="5"/>
  <c r="M99" i="5"/>
  <c r="N94" i="5"/>
  <c r="N78" i="5"/>
  <c r="M69" i="5"/>
  <c r="N51" i="5"/>
  <c r="N37" i="5"/>
  <c r="M35" i="5"/>
  <c r="N32" i="5"/>
  <c r="M200" i="5"/>
  <c r="M192" i="5"/>
  <c r="M189" i="5"/>
  <c r="M175" i="5"/>
  <c r="N168" i="5"/>
  <c r="N145" i="5"/>
  <c r="M141" i="5"/>
  <c r="M136" i="5"/>
  <c r="M134" i="5"/>
  <c r="M126" i="5"/>
  <c r="M108" i="5"/>
  <c r="M102" i="5"/>
  <c r="M101" i="5"/>
  <c r="M94" i="5"/>
  <c r="M92" i="5"/>
  <c r="M87" i="5"/>
  <c r="M85" i="5"/>
  <c r="M63" i="5"/>
  <c r="M60" i="5"/>
  <c r="N39" i="5"/>
  <c r="M37" i="5"/>
  <c r="M31" i="5"/>
  <c r="M29" i="5"/>
  <c r="M27" i="5"/>
  <c r="M15" i="5"/>
  <c r="M196" i="5"/>
  <c r="M159" i="5"/>
  <c r="M135" i="5"/>
  <c r="M114" i="5"/>
  <c r="M107" i="5"/>
  <c r="M79" i="5"/>
  <c r="M42" i="5"/>
  <c r="M11" i="5"/>
  <c r="M9" i="5"/>
  <c r="K212" i="5"/>
  <c r="H212" i="5"/>
  <c r="M210" i="5"/>
  <c r="N207" i="5"/>
  <c r="N206" i="5"/>
  <c r="N205" i="5"/>
  <c r="I212" i="5"/>
  <c r="N204" i="5"/>
  <c r="N203" i="5"/>
  <c r="M208" i="5"/>
  <c r="N186" i="5"/>
  <c r="M183" i="5"/>
  <c r="N182" i="5"/>
  <c r="M209" i="5"/>
  <c r="M202" i="5"/>
  <c r="M198" i="5"/>
  <c r="M194" i="5"/>
  <c r="N193" i="5"/>
  <c r="N184" i="5"/>
  <c r="N187" i="5"/>
  <c r="N183" i="5"/>
  <c r="N178" i="5"/>
  <c r="N172" i="5"/>
  <c r="N166" i="5"/>
  <c r="N150" i="5"/>
  <c r="M177" i="5"/>
  <c r="M171" i="5"/>
  <c r="N175" i="5"/>
  <c r="N161" i="5"/>
  <c r="N156" i="5"/>
  <c r="M149" i="5"/>
  <c r="N132" i="5"/>
  <c r="M127" i="5"/>
  <c r="N126" i="5"/>
  <c r="M104" i="5"/>
  <c r="N137" i="5"/>
  <c r="N136" i="5"/>
  <c r="N121" i="5"/>
  <c r="N103" i="5"/>
  <c r="N120" i="5"/>
  <c r="N117" i="5"/>
  <c r="N116" i="5"/>
  <c r="N108" i="5"/>
  <c r="N151" i="5"/>
  <c r="N147" i="5"/>
  <c r="N143" i="5"/>
  <c r="N141" i="5"/>
  <c r="N138" i="5"/>
  <c r="N100" i="5"/>
  <c r="N122" i="5"/>
  <c r="N119" i="5"/>
  <c r="N98" i="5"/>
  <c r="N110" i="5"/>
  <c r="N115" i="5"/>
  <c r="N114" i="5"/>
  <c r="N107" i="5"/>
  <c r="N97" i="5"/>
  <c r="N99" i="5"/>
  <c r="M74" i="5"/>
  <c r="M84" i="5"/>
  <c r="N69" i="5"/>
  <c r="M80" i="5"/>
  <c r="N90" i="5"/>
  <c r="N89" i="5"/>
  <c r="N80" i="5"/>
  <c r="N88" i="5"/>
  <c r="N87" i="5"/>
  <c r="N82" i="5"/>
  <c r="N75" i="5"/>
  <c r="N81" i="5"/>
  <c r="M65" i="5"/>
  <c r="M45" i="5"/>
  <c r="N52" i="5"/>
  <c r="N26" i="5"/>
  <c r="N60" i="5"/>
  <c r="N72" i="5"/>
  <c r="N71" i="5"/>
  <c r="N59" i="5"/>
  <c r="N62" i="5"/>
  <c r="N53" i="5"/>
  <c r="M56" i="5"/>
  <c r="M49" i="5"/>
  <c r="N63" i="5"/>
  <c r="N61" i="5"/>
  <c r="M47" i="5"/>
  <c r="M48" i="5"/>
  <c r="N15" i="5"/>
  <c r="M32" i="5"/>
  <c r="N36" i="5"/>
  <c r="N34" i="5"/>
  <c r="N35" i="5"/>
  <c r="M7" i="5"/>
  <c r="N30" i="5"/>
  <c r="N28" i="5"/>
  <c r="N27" i="5"/>
  <c r="N23" i="5"/>
  <c r="N14" i="5"/>
  <c r="N4" i="5"/>
  <c r="M6" i="5"/>
  <c r="N16" i="5"/>
  <c r="N3" i="5"/>
  <c r="N140" i="5"/>
  <c r="N10" i="5"/>
  <c r="D17" i="4"/>
  <c r="C21" i="4"/>
  <c r="C10" i="4" l="1"/>
  <c r="E10" i="4" s="1"/>
  <c r="N212" i="5"/>
  <c r="M212" i="5"/>
  <c r="C17" i="4"/>
  <c r="E17" i="4" s="1"/>
  <c r="C13" i="4"/>
  <c r="E13" i="4" s="1"/>
  <c r="C7" i="4"/>
  <c r="C16" i="4"/>
  <c r="C18" i="4"/>
  <c r="Q4" i="5" l="1"/>
  <c r="Q3" i="55"/>
  <c r="Q16" i="54"/>
  <c r="Q5" i="54"/>
  <c r="Q27" i="53"/>
  <c r="Q8" i="53"/>
  <c r="Q18" i="52"/>
  <c r="Q15" i="52"/>
  <c r="Q12" i="52"/>
  <c r="Q13" i="51"/>
  <c r="Q10" i="51"/>
  <c r="Q20" i="49"/>
  <c r="Q5" i="49"/>
  <c r="Q13" i="48"/>
  <c r="Q6" i="48"/>
  <c r="Q8" i="46"/>
  <c r="Q7" i="45"/>
  <c r="Q7" i="44"/>
  <c r="Q4" i="44"/>
  <c r="Q12" i="43"/>
  <c r="Q9" i="43"/>
  <c r="Q14" i="55"/>
  <c r="Q10" i="55"/>
  <c r="Q7" i="55"/>
  <c r="Q4" i="55"/>
  <c r="Q11" i="54"/>
  <c r="Q8" i="54"/>
  <c r="Q21" i="53"/>
  <c r="Q18" i="53"/>
  <c r="Q15" i="53"/>
  <c r="Q5" i="53"/>
  <c r="Q7" i="52"/>
  <c r="Q17" i="51"/>
  <c r="Q7" i="51"/>
  <c r="Q4" i="51"/>
  <c r="Q7" i="50"/>
  <c r="Q4" i="50"/>
  <c r="Q17" i="49"/>
  <c r="Q14" i="49"/>
  <c r="Q8" i="49"/>
  <c r="Q10" i="48"/>
  <c r="Q3" i="48"/>
  <c r="Q12" i="47"/>
  <c r="Q9" i="47"/>
  <c r="Q6" i="47"/>
  <c r="Q3" i="47"/>
  <c r="Q11" i="46"/>
  <c r="Q12" i="45"/>
  <c r="Q4" i="45"/>
  <c r="Q16" i="44"/>
  <c r="Q12" i="44"/>
  <c r="Q6" i="43"/>
  <c r="Q3" i="43"/>
  <c r="Q14" i="42"/>
  <c r="Q17" i="54"/>
  <c r="Q14" i="54"/>
  <c r="Q25" i="53"/>
  <c r="Q12" i="53"/>
  <c r="Q10" i="52"/>
  <c r="Q4" i="52"/>
  <c r="Q14" i="51"/>
  <c r="Q11" i="51"/>
  <c r="Q13" i="50"/>
  <c r="Q10" i="50"/>
  <c r="Q21" i="49"/>
  <c r="Q11" i="49"/>
  <c r="Q7" i="48"/>
  <c r="Q4" i="48"/>
  <c r="Q18" i="47"/>
  <c r="Q15" i="47"/>
  <c r="Q5" i="46"/>
  <c r="Q8" i="45"/>
  <c r="Q8" i="44"/>
  <c r="Q11" i="55"/>
  <c r="Q6" i="54"/>
  <c r="Q3" i="54"/>
  <c r="Q22" i="53"/>
  <c r="Q16" i="53"/>
  <c r="Q9" i="53"/>
  <c r="Q6" i="53"/>
  <c r="Q19" i="52"/>
  <c r="Q16" i="52"/>
  <c r="Q13" i="52"/>
  <c r="Q8" i="51"/>
  <c r="Q5" i="51"/>
  <c r="Q5" i="50"/>
  <c r="Q6" i="49"/>
  <c r="Q3" i="49"/>
  <c r="Q11" i="48"/>
  <c r="Q4" i="47"/>
  <c r="Q9" i="46"/>
  <c r="Q13" i="44"/>
  <c r="Q5" i="44"/>
  <c r="Q13" i="43"/>
  <c r="Q10" i="43"/>
  <c r="Q7" i="43"/>
  <c r="Q12" i="42"/>
  <c r="Q8" i="55"/>
  <c r="Q5" i="55"/>
  <c r="Q12" i="54"/>
  <c r="Q9" i="54"/>
  <c r="Q19" i="53"/>
  <c r="Q13" i="53"/>
  <c r="Q8" i="52"/>
  <c r="Q18" i="51"/>
  <c r="Q11" i="50"/>
  <c r="Q8" i="50"/>
  <c r="Q18" i="49"/>
  <c r="Q15" i="49"/>
  <c r="Q12" i="49"/>
  <c r="Q9" i="49"/>
  <c r="Q8" i="48"/>
  <c r="Q16" i="47"/>
  <c r="Q13" i="47"/>
  <c r="Q10" i="47"/>
  <c r="Q7" i="47"/>
  <c r="Q12" i="46"/>
  <c r="Q6" i="46"/>
  <c r="Q3" i="46"/>
  <c r="Q16" i="46" s="1"/>
  <c r="Q9" i="45"/>
  <c r="Q5" i="45"/>
  <c r="Q17" i="44"/>
  <c r="Q9" i="44"/>
  <c r="Q4" i="43"/>
  <c r="Q15" i="42"/>
  <c r="Q12" i="55"/>
  <c r="Q18" i="54"/>
  <c r="Q15" i="54"/>
  <c r="Q26" i="53"/>
  <c r="Q23" i="53"/>
  <c r="Q10" i="53"/>
  <c r="Q7" i="53"/>
  <c r="Q3" i="53"/>
  <c r="Q11" i="52"/>
  <c r="Q5" i="52"/>
  <c r="Q15" i="51"/>
  <c r="Q12" i="51"/>
  <c r="Q9" i="51"/>
  <c r="Q4" i="49"/>
  <c r="Q12" i="48"/>
  <c r="Q5" i="48"/>
  <c r="Q19" i="47"/>
  <c r="Q10" i="45"/>
  <c r="Q14" i="44"/>
  <c r="Q13" i="55"/>
  <c r="Q13" i="54"/>
  <c r="Q10" i="54"/>
  <c r="Q24" i="53"/>
  <c r="Q20" i="53"/>
  <c r="Q11" i="53"/>
  <c r="Q4" i="53"/>
  <c r="Q9" i="52"/>
  <c r="Q6" i="52"/>
  <c r="Q3" i="52"/>
  <c r="Q16" i="51"/>
  <c r="Q12" i="50"/>
  <c r="Q9" i="50"/>
  <c r="Q10" i="49"/>
  <c r="Q17" i="47"/>
  <c r="Q14" i="47"/>
  <c r="Q11" i="47"/>
  <c r="Q14" i="46"/>
  <c r="Q7" i="46"/>
  <c r="Q4" i="46"/>
  <c r="Q11" i="45"/>
  <c r="Q15" i="44"/>
  <c r="Q11" i="44"/>
  <c r="Q5" i="43"/>
  <c r="Q16" i="42"/>
  <c r="Q13" i="46"/>
  <c r="Q10" i="46"/>
  <c r="Q13" i="42"/>
  <c r="Q7" i="42"/>
  <c r="Q4" i="42"/>
  <c r="Q7" i="54"/>
  <c r="Q17" i="53"/>
  <c r="Q14" i="53"/>
  <c r="Q19" i="49"/>
  <c r="Q16" i="49"/>
  <c r="Q13" i="49"/>
  <c r="Q11" i="42"/>
  <c r="Q7" i="49"/>
  <c r="Q8" i="47"/>
  <c r="Q5" i="47"/>
  <c r="Q8" i="42"/>
  <c r="Q6" i="55"/>
  <c r="Q9" i="48"/>
  <c r="Q6" i="45"/>
  <c r="Q3" i="45"/>
  <c r="Q6" i="44"/>
  <c r="Q5" i="42"/>
  <c r="Q9" i="55"/>
  <c r="Q6" i="42"/>
  <c r="Q17" i="52"/>
  <c r="Q6" i="51"/>
  <c r="Q3" i="51"/>
  <c r="Q9" i="42"/>
  <c r="Q14" i="52"/>
  <c r="Q10" i="44"/>
  <c r="Q3" i="44"/>
  <c r="Q3" i="42"/>
  <c r="Q11" i="43"/>
  <c r="Q4" i="54"/>
  <c r="Q19" i="51"/>
  <c r="Q6" i="50"/>
  <c r="Q3" i="50"/>
  <c r="Q8" i="43"/>
  <c r="Q10" i="42"/>
  <c r="S3" i="5"/>
  <c r="S14" i="55"/>
  <c r="S10" i="55"/>
  <c r="S7" i="55"/>
  <c r="S4" i="55"/>
  <c r="S11" i="54"/>
  <c r="S8" i="54"/>
  <c r="S21" i="53"/>
  <c r="S18" i="53"/>
  <c r="S15" i="53"/>
  <c r="S5" i="53"/>
  <c r="S7" i="52"/>
  <c r="S17" i="51"/>
  <c r="S7" i="51"/>
  <c r="S4" i="51"/>
  <c r="S7" i="50"/>
  <c r="S4" i="50"/>
  <c r="S17" i="49"/>
  <c r="S14" i="49"/>
  <c r="S8" i="49"/>
  <c r="S10" i="48"/>
  <c r="S3" i="48"/>
  <c r="S12" i="47"/>
  <c r="S9" i="47"/>
  <c r="S6" i="47"/>
  <c r="S3" i="47"/>
  <c r="S11" i="46"/>
  <c r="S12" i="45"/>
  <c r="S4" i="45"/>
  <c r="S16" i="44"/>
  <c r="S12" i="44"/>
  <c r="S6" i="43"/>
  <c r="S3" i="43"/>
  <c r="S14" i="42"/>
  <c r="S17" i="54"/>
  <c r="S14" i="54"/>
  <c r="S25" i="53"/>
  <c r="S12" i="53"/>
  <c r="S10" i="52"/>
  <c r="S4" i="52"/>
  <c r="S14" i="51"/>
  <c r="S11" i="51"/>
  <c r="S13" i="50"/>
  <c r="S10" i="50"/>
  <c r="S21" i="49"/>
  <c r="S11" i="49"/>
  <c r="S7" i="48"/>
  <c r="S4" i="48"/>
  <c r="S18" i="47"/>
  <c r="S15" i="47"/>
  <c r="S5" i="46"/>
  <c r="S8" i="45"/>
  <c r="S8" i="44"/>
  <c r="S11" i="55"/>
  <c r="S6" i="54"/>
  <c r="S3" i="54"/>
  <c r="S22" i="53"/>
  <c r="S16" i="53"/>
  <c r="S9" i="53"/>
  <c r="S6" i="53"/>
  <c r="S19" i="52"/>
  <c r="S16" i="52"/>
  <c r="S13" i="52"/>
  <c r="S8" i="51"/>
  <c r="S5" i="51"/>
  <c r="S5" i="50"/>
  <c r="S6" i="49"/>
  <c r="S3" i="49"/>
  <c r="S11" i="48"/>
  <c r="S4" i="47"/>
  <c r="S9" i="46"/>
  <c r="S13" i="44"/>
  <c r="S5" i="44"/>
  <c r="S13" i="43"/>
  <c r="S10" i="43"/>
  <c r="S7" i="43"/>
  <c r="S8" i="55"/>
  <c r="S5" i="55"/>
  <c r="S12" i="54"/>
  <c r="S9" i="54"/>
  <c r="S19" i="53"/>
  <c r="S13" i="53"/>
  <c r="S8" i="52"/>
  <c r="S18" i="51"/>
  <c r="S11" i="50"/>
  <c r="S8" i="50"/>
  <c r="S18" i="49"/>
  <c r="S15" i="49"/>
  <c r="S12" i="49"/>
  <c r="S9" i="49"/>
  <c r="S8" i="48"/>
  <c r="S16" i="47"/>
  <c r="S13" i="47"/>
  <c r="S10" i="47"/>
  <c r="S7" i="47"/>
  <c r="S12" i="46"/>
  <c r="S6" i="46"/>
  <c r="S3" i="46"/>
  <c r="S9" i="45"/>
  <c r="S5" i="45"/>
  <c r="S17" i="44"/>
  <c r="S9" i="44"/>
  <c r="S4" i="43"/>
  <c r="S15" i="42"/>
  <c r="S12" i="55"/>
  <c r="S18" i="54"/>
  <c r="S15" i="54"/>
  <c r="S26" i="53"/>
  <c r="S23" i="53"/>
  <c r="S10" i="53"/>
  <c r="S7" i="53"/>
  <c r="S3" i="53"/>
  <c r="S11" i="52"/>
  <c r="S5" i="52"/>
  <c r="S15" i="51"/>
  <c r="S12" i="51"/>
  <c r="S9" i="51"/>
  <c r="S4" i="49"/>
  <c r="S12" i="48"/>
  <c r="S5" i="48"/>
  <c r="S19" i="47"/>
  <c r="S10" i="45"/>
  <c r="S14" i="44"/>
  <c r="S9" i="55"/>
  <c r="S6" i="55"/>
  <c r="S7" i="54"/>
  <c r="S4" i="54"/>
  <c r="S17" i="53"/>
  <c r="S14" i="53"/>
  <c r="S17" i="52"/>
  <c r="S14" i="52"/>
  <c r="S19" i="51"/>
  <c r="S6" i="51"/>
  <c r="S3" i="51"/>
  <c r="S6" i="50"/>
  <c r="S3" i="50"/>
  <c r="S19" i="49"/>
  <c r="S16" i="49"/>
  <c r="S13" i="49"/>
  <c r="S7" i="49"/>
  <c r="S9" i="48"/>
  <c r="S8" i="47"/>
  <c r="S5" i="47"/>
  <c r="S13" i="46"/>
  <c r="S10" i="46"/>
  <c r="S6" i="45"/>
  <c r="S3" i="45"/>
  <c r="S10" i="44"/>
  <c r="S6" i="44"/>
  <c r="S3" i="44"/>
  <c r="S11" i="43"/>
  <c r="S8" i="43"/>
  <c r="S13" i="42"/>
  <c r="S3" i="55"/>
  <c r="S16" i="54"/>
  <c r="S5" i="54"/>
  <c r="S27" i="53"/>
  <c r="S8" i="53"/>
  <c r="S18" i="52"/>
  <c r="S15" i="52"/>
  <c r="S12" i="52"/>
  <c r="S13" i="51"/>
  <c r="S10" i="51"/>
  <c r="S20" i="49"/>
  <c r="S5" i="49"/>
  <c r="S13" i="48"/>
  <c r="S6" i="48"/>
  <c r="S8" i="46"/>
  <c r="S7" i="45"/>
  <c r="S7" i="44"/>
  <c r="S4" i="44"/>
  <c r="S12" i="43"/>
  <c r="S9" i="43"/>
  <c r="S16" i="51"/>
  <c r="S12" i="50"/>
  <c r="S9" i="50"/>
  <c r="S5" i="43"/>
  <c r="S16" i="42"/>
  <c r="S11" i="42"/>
  <c r="S10" i="42"/>
  <c r="S9" i="52"/>
  <c r="S6" i="52"/>
  <c r="S7" i="46"/>
  <c r="S4" i="46"/>
  <c r="S11" i="45"/>
  <c r="S11" i="44"/>
  <c r="S8" i="42"/>
  <c r="S13" i="55"/>
  <c r="S20" i="53"/>
  <c r="S11" i="53"/>
  <c r="S3" i="52"/>
  <c r="S5" i="42"/>
  <c r="S24" i="53"/>
  <c r="S10" i="49"/>
  <c r="S17" i="47"/>
  <c r="S14" i="47"/>
  <c r="S11" i="47"/>
  <c r="S14" i="46"/>
  <c r="S12" i="42"/>
  <c r="S9" i="42"/>
  <c r="S15" i="44"/>
  <c r="S3" i="42"/>
  <c r="S6" i="42"/>
  <c r="S13" i="54"/>
  <c r="S10" i="54"/>
  <c r="S4" i="53"/>
  <c r="S7" i="42"/>
  <c r="S4" i="42"/>
  <c r="C19" i="4"/>
  <c r="S4" i="5"/>
  <c r="S17" i="5"/>
  <c r="S5" i="5"/>
  <c r="S12" i="5"/>
  <c r="S6" i="5"/>
  <c r="S7" i="5"/>
  <c r="S8" i="5"/>
  <c r="S18" i="5"/>
  <c r="S19" i="5"/>
  <c r="S9" i="5"/>
  <c r="S46" i="5"/>
  <c r="S140" i="5"/>
  <c r="S11" i="5"/>
  <c r="S23" i="5"/>
  <c r="S27" i="5"/>
  <c r="S13" i="5"/>
  <c r="S22" i="5"/>
  <c r="S29" i="5"/>
  <c r="S24" i="5"/>
  <c r="S20" i="5"/>
  <c r="S28" i="5"/>
  <c r="S30" i="5"/>
  <c r="S14" i="5"/>
  <c r="S25" i="5"/>
  <c r="S31" i="5"/>
  <c r="S38" i="5"/>
  <c r="S39" i="5"/>
  <c r="S32" i="5"/>
  <c r="S10" i="5"/>
  <c r="S15" i="5"/>
  <c r="S21" i="5"/>
  <c r="S33" i="5"/>
  <c r="S34" i="5"/>
  <c r="S16" i="5"/>
  <c r="S26" i="5"/>
  <c r="S41" i="5"/>
  <c r="S42" i="5"/>
  <c r="S37" i="5"/>
  <c r="S43" i="5"/>
  <c r="S44" i="5"/>
  <c r="S45" i="5"/>
  <c r="S47" i="5"/>
  <c r="S48" i="5"/>
  <c r="S49" i="5"/>
  <c r="S35" i="5"/>
  <c r="S40" i="5"/>
  <c r="S52" i="5"/>
  <c r="S51" i="5"/>
  <c r="S54" i="5"/>
  <c r="S63" i="5"/>
  <c r="S36" i="5"/>
  <c r="S50" i="5"/>
  <c r="S55" i="5"/>
  <c r="S64" i="5"/>
  <c r="S65" i="5"/>
  <c r="S66" i="5"/>
  <c r="S56" i="5"/>
  <c r="S67" i="5"/>
  <c r="S68" i="5"/>
  <c r="S57" i="5"/>
  <c r="S53" i="5"/>
  <c r="S58" i="5"/>
  <c r="S59" i="5"/>
  <c r="S60" i="5"/>
  <c r="S62" i="5"/>
  <c r="S76" i="5"/>
  <c r="S61" i="5"/>
  <c r="S77" i="5"/>
  <c r="S78" i="5"/>
  <c r="S79" i="5"/>
  <c r="S69" i="5"/>
  <c r="S70" i="5"/>
  <c r="S71" i="5"/>
  <c r="S72" i="5"/>
  <c r="S75" i="5"/>
  <c r="S73" i="5"/>
  <c r="S81" i="5"/>
  <c r="S83" i="5"/>
  <c r="S91" i="5"/>
  <c r="S84" i="5"/>
  <c r="S92" i="5"/>
  <c r="S93" i="5"/>
  <c r="S94" i="5"/>
  <c r="S95" i="5"/>
  <c r="S85" i="5"/>
  <c r="S80" i="5"/>
  <c r="S82" i="5"/>
  <c r="S86" i="5"/>
  <c r="S87" i="5"/>
  <c r="S88" i="5"/>
  <c r="S74" i="5"/>
  <c r="S89" i="5"/>
  <c r="S90" i="5"/>
  <c r="S96" i="5"/>
  <c r="S104" i="5"/>
  <c r="S111" i="5"/>
  <c r="S97" i="5"/>
  <c r="S99" i="5"/>
  <c r="S105" i="5"/>
  <c r="S112" i="5"/>
  <c r="S123" i="5"/>
  <c r="S101" i="5"/>
  <c r="S106" i="5"/>
  <c r="S124" i="5"/>
  <c r="S125" i="5"/>
  <c r="S113" i="5"/>
  <c r="S98" i="5"/>
  <c r="S103" i="5"/>
  <c r="S108" i="5"/>
  <c r="S116" i="5"/>
  <c r="S109" i="5"/>
  <c r="S110" i="5"/>
  <c r="S114" i="5"/>
  <c r="S121" i="5"/>
  <c r="S136" i="5"/>
  <c r="S137" i="5"/>
  <c r="S132" i="5"/>
  <c r="S118" i="5"/>
  <c r="S126" i="5"/>
  <c r="S148" i="5"/>
  <c r="S155" i="5"/>
  <c r="S127" i="5"/>
  <c r="S149" i="5"/>
  <c r="S107" i="5"/>
  <c r="S120" i="5"/>
  <c r="S128" i="5"/>
  <c r="S129" i="5"/>
  <c r="S145" i="5"/>
  <c r="S115" i="5"/>
  <c r="S122" i="5"/>
  <c r="S130" i="5"/>
  <c r="S139" i="5"/>
  <c r="S142" i="5"/>
  <c r="S146" i="5"/>
  <c r="S150" i="5"/>
  <c r="S102" i="5"/>
  <c r="S131" i="5"/>
  <c r="S133" i="5"/>
  <c r="S138" i="5"/>
  <c r="S141" i="5"/>
  <c r="S143" i="5"/>
  <c r="S147" i="5"/>
  <c r="S151" i="5"/>
  <c r="S134" i="5"/>
  <c r="S144" i="5"/>
  <c r="S100" i="5"/>
  <c r="S117" i="5"/>
  <c r="S119" i="5"/>
  <c r="S135" i="5"/>
  <c r="S164" i="5"/>
  <c r="S165" i="5"/>
  <c r="S170" i="5"/>
  <c r="S176" i="5"/>
  <c r="S152" i="5"/>
  <c r="S153" i="5"/>
  <c r="S154" i="5"/>
  <c r="S160" i="5"/>
  <c r="S171" i="5"/>
  <c r="S177" i="5"/>
  <c r="S166" i="5"/>
  <c r="S172" i="5"/>
  <c r="S178" i="5"/>
  <c r="S156" i="5"/>
  <c r="S179" i="5"/>
  <c r="S157" i="5"/>
  <c r="S167" i="5"/>
  <c r="S168" i="5"/>
  <c r="S173" i="5"/>
  <c r="S180" i="5"/>
  <c r="S181" i="5"/>
  <c r="S182" i="5"/>
  <c r="S183" i="5"/>
  <c r="S185" i="5"/>
  <c r="S158" i="5"/>
  <c r="S159" i="5"/>
  <c r="S162" i="5"/>
  <c r="S163" i="5"/>
  <c r="S169" i="5"/>
  <c r="S174" i="5"/>
  <c r="S161" i="5"/>
  <c r="S175" i="5"/>
  <c r="S187" i="5"/>
  <c r="S201" i="5"/>
  <c r="S189" i="5"/>
  <c r="S195" i="5"/>
  <c r="S196" i="5"/>
  <c r="S202" i="5"/>
  <c r="S188" i="5"/>
  <c r="S203" i="5"/>
  <c r="S205" i="5"/>
  <c r="S206" i="5"/>
  <c r="S207" i="5"/>
  <c r="S190" i="5"/>
  <c r="S191" i="5"/>
  <c r="S192" i="5"/>
  <c r="S197" i="5"/>
  <c r="S208" i="5"/>
  <c r="S209" i="5"/>
  <c r="S193" i="5"/>
  <c r="S210" i="5"/>
  <c r="S184" i="5"/>
  <c r="S186" i="5"/>
  <c r="S199" i="5"/>
  <c r="S194" i="5"/>
  <c r="S198" i="5"/>
  <c r="S200" i="5"/>
  <c r="S204" i="5"/>
  <c r="Q5" i="5"/>
  <c r="Q12" i="5"/>
  <c r="Q6" i="5"/>
  <c r="Q7" i="5"/>
  <c r="Q8" i="5"/>
  <c r="Q18" i="5"/>
  <c r="Q19" i="5"/>
  <c r="Q9" i="5"/>
  <c r="Q46" i="5"/>
  <c r="Q10" i="5"/>
  <c r="Q21" i="5"/>
  <c r="Q140" i="5"/>
  <c r="Q3" i="5"/>
  <c r="Q11" i="5"/>
  <c r="Q13" i="5"/>
  <c r="Q22" i="5"/>
  <c r="Q29" i="5"/>
  <c r="Q24" i="5"/>
  <c r="Q20" i="5"/>
  <c r="Q28" i="5"/>
  <c r="Q14" i="5"/>
  <c r="Q17" i="5"/>
  <c r="Q25" i="5"/>
  <c r="Q31" i="5"/>
  <c r="Q32" i="5"/>
  <c r="Q15" i="5"/>
  <c r="Q33" i="5"/>
  <c r="Q23" i="5"/>
  <c r="Q27" i="5"/>
  <c r="Q38" i="5"/>
  <c r="Q41" i="5"/>
  <c r="Q42" i="5"/>
  <c r="Q16" i="5"/>
  <c r="Q37" i="5"/>
  <c r="Q43" i="5"/>
  <c r="Q44" i="5"/>
  <c r="Q45" i="5"/>
  <c r="Q47" i="5"/>
  <c r="Q48" i="5"/>
  <c r="Q49" i="5"/>
  <c r="Q26" i="5"/>
  <c r="Q35" i="5"/>
  <c r="Q39" i="5"/>
  <c r="Q40" i="5"/>
  <c r="Q34" i="5"/>
  <c r="Q30" i="5"/>
  <c r="Q36" i="5"/>
  <c r="Q50" i="5"/>
  <c r="Q55" i="5"/>
  <c r="Q64" i="5"/>
  <c r="Q56" i="5"/>
  <c r="Q67" i="5"/>
  <c r="Q57" i="5"/>
  <c r="Q61" i="5"/>
  <c r="Q51" i="5"/>
  <c r="Q54" i="5"/>
  <c r="Q60" i="5"/>
  <c r="Q66" i="5"/>
  <c r="Q77" i="5"/>
  <c r="Q63" i="5"/>
  <c r="Q78" i="5"/>
  <c r="Q79" i="5"/>
  <c r="Q52" i="5"/>
  <c r="Q65" i="5"/>
  <c r="Q58" i="5"/>
  <c r="Q69" i="5"/>
  <c r="Q70" i="5"/>
  <c r="Q68" i="5"/>
  <c r="Q71" i="5"/>
  <c r="Q72" i="5"/>
  <c r="Q53" i="5"/>
  <c r="Q62" i="5"/>
  <c r="Q73" i="5"/>
  <c r="Q74" i="5"/>
  <c r="Q59" i="5"/>
  <c r="Q76" i="5"/>
  <c r="Q75" i="5"/>
  <c r="Q81" i="5"/>
  <c r="Q83" i="5"/>
  <c r="Q91" i="5"/>
  <c r="Q84" i="5"/>
  <c r="Q92" i="5"/>
  <c r="Q93" i="5"/>
  <c r="Q94" i="5"/>
  <c r="Q95" i="5"/>
  <c r="Q85" i="5"/>
  <c r="Q80" i="5"/>
  <c r="Q82" i="5"/>
  <c r="Q86" i="5"/>
  <c r="Q87" i="5"/>
  <c r="Q88" i="5"/>
  <c r="Q89" i="5"/>
  <c r="Q90" i="5"/>
  <c r="Q97" i="5"/>
  <c r="Q99" i="5"/>
  <c r="Q105" i="5"/>
  <c r="Q112" i="5"/>
  <c r="Q96" i="5"/>
  <c r="Q101" i="5"/>
  <c r="Q106" i="5"/>
  <c r="Q124" i="5"/>
  <c r="Q125" i="5"/>
  <c r="Q113" i="5"/>
  <c r="Q100" i="5"/>
  <c r="Q102" i="5"/>
  <c r="Q107" i="5"/>
  <c r="Q114" i="5"/>
  <c r="Q115" i="5"/>
  <c r="Q109" i="5"/>
  <c r="Q110" i="5"/>
  <c r="Q104" i="5"/>
  <c r="Q111" i="5"/>
  <c r="Q98" i="5"/>
  <c r="Q108" i="5"/>
  <c r="Q118" i="5"/>
  <c r="Q126" i="5"/>
  <c r="Q148" i="5"/>
  <c r="Q155" i="5"/>
  <c r="Q116" i="5"/>
  <c r="Q123" i="5"/>
  <c r="Q127" i="5"/>
  <c r="Q149" i="5"/>
  <c r="Q103" i="5"/>
  <c r="Q120" i="5"/>
  <c r="Q128" i="5"/>
  <c r="Q129" i="5"/>
  <c r="Q145" i="5"/>
  <c r="Q122" i="5"/>
  <c r="Q130" i="5"/>
  <c r="Q139" i="5"/>
  <c r="Q142" i="5"/>
  <c r="Q146" i="5"/>
  <c r="Q131" i="5"/>
  <c r="Q133" i="5"/>
  <c r="Q138" i="5"/>
  <c r="Q141" i="5"/>
  <c r="Q143" i="5"/>
  <c r="Q147" i="5"/>
  <c r="Q134" i="5"/>
  <c r="Q144" i="5"/>
  <c r="Q117" i="5"/>
  <c r="Q119" i="5"/>
  <c r="Q135" i="5"/>
  <c r="Q152" i="5"/>
  <c r="Q153" i="5"/>
  <c r="Q154" i="5"/>
  <c r="Q121" i="5"/>
  <c r="Q136" i="5"/>
  <c r="Q137" i="5"/>
  <c r="Q160" i="5"/>
  <c r="Q171" i="5"/>
  <c r="Q177" i="5"/>
  <c r="Q166" i="5"/>
  <c r="Q172" i="5"/>
  <c r="Q178" i="5"/>
  <c r="Q156" i="5"/>
  <c r="Q179" i="5"/>
  <c r="Q150" i="5"/>
  <c r="Q157" i="5"/>
  <c r="Q167" i="5"/>
  <c r="Q168" i="5"/>
  <c r="Q173" i="5"/>
  <c r="Q180" i="5"/>
  <c r="Q184" i="5"/>
  <c r="Q151" i="5"/>
  <c r="Q181" i="5"/>
  <c r="Q182" i="5"/>
  <c r="Q158" i="5"/>
  <c r="Q159" i="5"/>
  <c r="Q162" i="5"/>
  <c r="Q163" i="5"/>
  <c r="Q169" i="5"/>
  <c r="Q174" i="5"/>
  <c r="Q132" i="5"/>
  <c r="Q161" i="5"/>
  <c r="Q175" i="5"/>
  <c r="Q164" i="5"/>
  <c r="Q165" i="5"/>
  <c r="Q170" i="5"/>
  <c r="Q176" i="5"/>
  <c r="Q190" i="5"/>
  <c r="Q189" i="5"/>
  <c r="Q195" i="5"/>
  <c r="Q196" i="5"/>
  <c r="Q202" i="5"/>
  <c r="Q188" i="5"/>
  <c r="Q203" i="5"/>
  <c r="Q191" i="5"/>
  <c r="Q192" i="5"/>
  <c r="Q197" i="5"/>
  <c r="Q208" i="5"/>
  <c r="Q209" i="5"/>
  <c r="Q193" i="5"/>
  <c r="Q210" i="5"/>
  <c r="Q183" i="5"/>
  <c r="Q186" i="5"/>
  <c r="Q199" i="5"/>
  <c r="Q204" i="5"/>
  <c r="Q194" i="5"/>
  <c r="Q198" i="5"/>
  <c r="Q200" i="5"/>
  <c r="Q185" i="5"/>
  <c r="Q187" i="5"/>
  <c r="Q201" i="5"/>
  <c r="Q206" i="5"/>
  <c r="Q207" i="5"/>
  <c r="Q205" i="5"/>
  <c r="C8" i="4"/>
  <c r="S18" i="44" l="1"/>
  <c r="S15" i="50"/>
  <c r="S29" i="53"/>
  <c r="S20" i="54"/>
  <c r="Q18" i="44"/>
  <c r="Q23" i="49"/>
  <c r="S21" i="51"/>
  <c r="Q15" i="50"/>
  <c r="Q14" i="45"/>
  <c r="Q29" i="53"/>
  <c r="Q15" i="43"/>
  <c r="S21" i="52"/>
  <c r="S23" i="49"/>
  <c r="Q21" i="51"/>
  <c r="Q20" i="54"/>
  <c r="Q21" i="47"/>
  <c r="S14" i="45"/>
  <c r="S18" i="42"/>
  <c r="S16" i="55"/>
  <c r="S16" i="46"/>
  <c r="S21" i="47"/>
  <c r="Q21" i="52"/>
  <c r="Q15" i="48"/>
  <c r="Q16" i="55"/>
  <c r="S15" i="48"/>
  <c r="S15" i="43"/>
  <c r="Q18" i="42"/>
  <c r="S212" i="5"/>
  <c r="Q212" i="5"/>
  <c r="D16" i="4"/>
  <c r="E16" i="4" s="1"/>
  <c r="W10" i="52" l="1"/>
  <c r="W11" i="51"/>
  <c r="W7" i="43"/>
  <c r="W5" i="45"/>
  <c r="W9" i="44"/>
  <c r="W14" i="44"/>
  <c r="W7" i="54"/>
  <c r="W13" i="46"/>
  <c r="W3" i="45"/>
  <c r="W6" i="52"/>
  <c r="W14" i="47"/>
  <c r="W14" i="46"/>
  <c r="W17" i="51"/>
  <c r="W7" i="50"/>
  <c r="W14" i="42"/>
  <c r="W3" i="55"/>
  <c r="W7" i="42"/>
  <c r="W3" i="42"/>
  <c r="W27" i="53"/>
  <c r="W3" i="44"/>
  <c r="W4" i="49"/>
  <c r="D18" i="4"/>
  <c r="E18" i="4" s="1"/>
  <c r="W60" i="5" s="1"/>
  <c r="W11" i="42" l="1"/>
  <c r="W5" i="54"/>
  <c r="W6" i="43"/>
  <c r="W15" i="53"/>
  <c r="W9" i="50"/>
  <c r="W8" i="47"/>
  <c r="W5" i="48"/>
  <c r="W6" i="46"/>
  <c r="W3" i="49"/>
  <c r="W5" i="44"/>
  <c r="W7" i="44"/>
  <c r="W21" i="53"/>
  <c r="W13" i="49"/>
  <c r="W10" i="47"/>
  <c r="W5" i="51"/>
  <c r="W23" i="53"/>
  <c r="W7" i="45"/>
  <c r="W10" i="51"/>
  <c r="W3" i="47"/>
  <c r="W4" i="55"/>
  <c r="W4" i="53"/>
  <c r="W3" i="50"/>
  <c r="W5" i="52"/>
  <c r="W16" i="47"/>
  <c r="W6" i="53"/>
  <c r="W13" i="51"/>
  <c r="W14" i="55"/>
  <c r="W24" i="53"/>
  <c r="W3" i="51"/>
  <c r="W7" i="53"/>
  <c r="W15" i="49"/>
  <c r="W3" i="54"/>
  <c r="W4" i="45"/>
  <c r="W14" i="45" s="1"/>
  <c r="W9" i="51"/>
  <c r="W8" i="46"/>
  <c r="W3" i="52"/>
  <c r="W10" i="48"/>
  <c r="W5" i="43"/>
  <c r="W13" i="55"/>
  <c r="W14" i="52"/>
  <c r="W26" i="53"/>
  <c r="W8" i="52"/>
  <c r="W5" i="46"/>
  <c r="W22" i="53"/>
  <c r="W9" i="47"/>
  <c r="W6" i="48"/>
  <c r="W8" i="42"/>
  <c r="W9" i="42"/>
  <c r="W4" i="42"/>
  <c r="W18" i="52"/>
  <c r="W17" i="49"/>
  <c r="W11" i="45"/>
  <c r="W11" i="43"/>
  <c r="W17" i="53"/>
  <c r="W12" i="55"/>
  <c r="W9" i="54"/>
  <c r="W4" i="48"/>
  <c r="W12" i="43"/>
  <c r="W4" i="44"/>
  <c r="W12" i="44"/>
  <c r="W12" i="47"/>
  <c r="W4" i="51"/>
  <c r="W8" i="54"/>
  <c r="W11" i="44"/>
  <c r="W17" i="47"/>
  <c r="W11" i="53"/>
  <c r="W6" i="44"/>
  <c r="W9" i="48"/>
  <c r="W6" i="51"/>
  <c r="W6" i="55"/>
  <c r="W12" i="51"/>
  <c r="W15" i="54"/>
  <c r="W9" i="45"/>
  <c r="W8" i="48"/>
  <c r="W13" i="53"/>
  <c r="W10" i="43"/>
  <c r="W6" i="49"/>
  <c r="W9" i="53"/>
  <c r="W15" i="47"/>
  <c r="W14" i="51"/>
  <c r="W21" i="49"/>
  <c r="W8" i="53"/>
  <c r="W20" i="49"/>
  <c r="W12" i="52"/>
  <c r="W13" i="48"/>
  <c r="W16" i="44"/>
  <c r="W3" i="48"/>
  <c r="W7" i="51"/>
  <c r="W11" i="54"/>
  <c r="W15" i="44"/>
  <c r="W10" i="49"/>
  <c r="W20" i="53"/>
  <c r="W10" i="44"/>
  <c r="W7" i="49"/>
  <c r="W19" i="51"/>
  <c r="W9" i="55"/>
  <c r="W15" i="51"/>
  <c r="W18" i="54"/>
  <c r="W3" i="46"/>
  <c r="W9" i="49"/>
  <c r="W19" i="53"/>
  <c r="W13" i="43"/>
  <c r="W5" i="50"/>
  <c r="W16" i="53"/>
  <c r="W18" i="47"/>
  <c r="W4" i="52"/>
  <c r="W12" i="49"/>
  <c r="W13" i="42"/>
  <c r="W6" i="42"/>
  <c r="W5" i="42"/>
  <c r="W18" i="42" s="1"/>
  <c r="W16" i="54"/>
  <c r="W12" i="45"/>
  <c r="W8" i="49"/>
  <c r="W7" i="52"/>
  <c r="W7" i="55"/>
  <c r="W4" i="46"/>
  <c r="W12" i="50"/>
  <c r="W10" i="54"/>
  <c r="W6" i="45"/>
  <c r="W16" i="49"/>
  <c r="W17" i="52"/>
  <c r="W10" i="45"/>
  <c r="W11" i="52"/>
  <c r="W15" i="42"/>
  <c r="W12" i="46"/>
  <c r="W18" i="49"/>
  <c r="W12" i="54"/>
  <c r="W13" i="44"/>
  <c r="W8" i="51"/>
  <c r="W6" i="54"/>
  <c r="W7" i="48"/>
  <c r="W12" i="53"/>
  <c r="W11" i="46"/>
  <c r="W14" i="49"/>
  <c r="W5" i="53"/>
  <c r="W10" i="55"/>
  <c r="W7" i="46"/>
  <c r="W16" i="51"/>
  <c r="W13" i="54"/>
  <c r="W10" i="46"/>
  <c r="W19" i="49"/>
  <c r="W14" i="53"/>
  <c r="W19" i="47"/>
  <c r="W3" i="53"/>
  <c r="W4" i="43"/>
  <c r="W7" i="47"/>
  <c r="W8" i="50"/>
  <c r="W5" i="55"/>
  <c r="W9" i="46"/>
  <c r="W13" i="52"/>
  <c r="W11" i="55"/>
  <c r="W11" i="49"/>
  <c r="W25" i="53"/>
  <c r="W11" i="50"/>
  <c r="W8" i="55"/>
  <c r="W4" i="47"/>
  <c r="W16" i="52"/>
  <c r="W8" i="44"/>
  <c r="W10" i="50"/>
  <c r="W14" i="54"/>
  <c r="W10" i="42"/>
  <c r="W5" i="49"/>
  <c r="W9" i="43"/>
  <c r="W15" i="52"/>
  <c r="W3" i="43"/>
  <c r="W6" i="47"/>
  <c r="W4" i="50"/>
  <c r="W18" i="53"/>
  <c r="W16" i="42"/>
  <c r="W11" i="47"/>
  <c r="W9" i="52"/>
  <c r="W8" i="43"/>
  <c r="W5" i="47"/>
  <c r="W6" i="50"/>
  <c r="W4" i="54"/>
  <c r="W12" i="48"/>
  <c r="W10" i="53"/>
  <c r="W17" i="44"/>
  <c r="W13" i="47"/>
  <c r="W18" i="51"/>
  <c r="W12" i="42"/>
  <c r="W11" i="48"/>
  <c r="W19" i="52"/>
  <c r="W8" i="45"/>
  <c r="W13" i="50"/>
  <c r="W17" i="54"/>
  <c r="W3" i="5"/>
  <c r="W159" i="5"/>
  <c r="W109" i="5"/>
  <c r="W19" i="5"/>
  <c r="W82" i="5"/>
  <c r="W207" i="5"/>
  <c r="W194" i="5"/>
  <c r="W158" i="5"/>
  <c r="W171" i="5"/>
  <c r="W151" i="5"/>
  <c r="W120" i="5"/>
  <c r="W135" i="5"/>
  <c r="W100" i="5"/>
  <c r="W97" i="5"/>
  <c r="W93" i="5"/>
  <c r="W68" i="5"/>
  <c r="W50" i="5"/>
  <c r="W49" i="5"/>
  <c r="W31" i="5"/>
  <c r="W8" i="5"/>
  <c r="W128" i="5"/>
  <c r="W69" i="5"/>
  <c r="W185" i="5"/>
  <c r="W157" i="5"/>
  <c r="W160" i="5"/>
  <c r="W138" i="5"/>
  <c r="W127" i="5"/>
  <c r="W119" i="5"/>
  <c r="W106" i="5"/>
  <c r="W88" i="5"/>
  <c r="W83" i="5"/>
  <c r="W40" i="5"/>
  <c r="W63" i="5"/>
  <c r="W48" i="5"/>
  <c r="W25" i="5"/>
  <c r="W7" i="5"/>
  <c r="W133" i="5"/>
  <c r="W34" i="5"/>
  <c r="W179" i="5"/>
  <c r="W149" i="5"/>
  <c r="W131" i="5"/>
  <c r="W113" i="5"/>
  <c r="W117" i="5"/>
  <c r="W105" i="5"/>
  <c r="W87" i="5"/>
  <c r="W81" i="5"/>
  <c r="W77" i="5"/>
  <c r="W54" i="5"/>
  <c r="W39" i="5"/>
  <c r="W36" i="5"/>
  <c r="W6" i="5"/>
  <c r="W190" i="5"/>
  <c r="W78" i="5"/>
  <c r="W210" i="5"/>
  <c r="W205" i="5"/>
  <c r="W193" i="5"/>
  <c r="W182" i="5"/>
  <c r="W188" i="5"/>
  <c r="W173" i="5"/>
  <c r="W176" i="5"/>
  <c r="W150" i="5"/>
  <c r="W126" i="5"/>
  <c r="W116" i="5"/>
  <c r="W99" i="5"/>
  <c r="W86" i="5"/>
  <c r="W72" i="5"/>
  <c r="W61" i="5"/>
  <c r="W51" i="5"/>
  <c r="W37" i="5"/>
  <c r="W24" i="5"/>
  <c r="W4" i="5"/>
  <c r="W195" i="5"/>
  <c r="W102" i="5"/>
  <c r="W66" i="5"/>
  <c r="W206" i="5"/>
  <c r="W183" i="5"/>
  <c r="W181" i="5"/>
  <c r="W187" i="5"/>
  <c r="W168" i="5"/>
  <c r="W175" i="5"/>
  <c r="W146" i="5"/>
  <c r="W125" i="5"/>
  <c r="W108" i="5"/>
  <c r="W111" i="5"/>
  <c r="W85" i="5"/>
  <c r="W96" i="5"/>
  <c r="W52" i="5"/>
  <c r="W62" i="5"/>
  <c r="W33" i="5"/>
  <c r="W22" i="5"/>
  <c r="W15" i="5"/>
  <c r="W177" i="5"/>
  <c r="W140" i="5"/>
  <c r="W199" i="5"/>
  <c r="W189" i="5"/>
  <c r="W192" i="5"/>
  <c r="W202" i="5"/>
  <c r="W163" i="5"/>
  <c r="W167" i="5"/>
  <c r="W161" i="5"/>
  <c r="W142" i="5"/>
  <c r="W124" i="5"/>
  <c r="W114" i="5"/>
  <c r="W104" i="5"/>
  <c r="W95" i="5"/>
  <c r="W90" i="5"/>
  <c r="W57" i="5"/>
  <c r="W53" i="5"/>
  <c r="W43" i="5"/>
  <c r="W27" i="5"/>
  <c r="W14" i="5"/>
  <c r="W136" i="5"/>
  <c r="W191" i="5"/>
  <c r="W196" i="5"/>
  <c r="W162" i="5"/>
  <c r="W156" i="5"/>
  <c r="W134" i="5"/>
  <c r="W129" i="5"/>
  <c r="W137" i="5"/>
  <c r="W107" i="5"/>
  <c r="W122" i="5"/>
  <c r="W94" i="5"/>
  <c r="W70" i="5"/>
  <c r="W56" i="5"/>
  <c r="W35" i="5"/>
  <c r="W21" i="5"/>
  <c r="W23" i="5"/>
  <c r="W13" i="5"/>
  <c r="W186" i="5"/>
  <c r="W178" i="5"/>
  <c r="W147" i="5"/>
  <c r="W155" i="5"/>
  <c r="W103" i="5"/>
  <c r="W121" i="5"/>
  <c r="W92" i="5"/>
  <c r="W76" i="5"/>
  <c r="W47" i="5"/>
  <c r="W30" i="5"/>
  <c r="W17" i="5"/>
  <c r="W208" i="5"/>
  <c r="W204" i="5"/>
  <c r="W200" i="5"/>
  <c r="W174" i="5"/>
  <c r="W184" i="5"/>
  <c r="W172" i="5"/>
  <c r="W165" i="5"/>
  <c r="W143" i="5"/>
  <c r="W130" i="5"/>
  <c r="W148" i="5"/>
  <c r="W153" i="5"/>
  <c r="W98" i="5"/>
  <c r="W123" i="5"/>
  <c r="W118" i="5"/>
  <c r="W79" i="5"/>
  <c r="W84" i="5"/>
  <c r="W74" i="5"/>
  <c r="W67" i="5"/>
  <c r="W64" i="5"/>
  <c r="W59" i="5"/>
  <c r="W45" i="5"/>
  <c r="W41" i="5"/>
  <c r="W28" i="5"/>
  <c r="W10" i="5"/>
  <c r="W5" i="5"/>
  <c r="W209" i="5"/>
  <c r="W201" i="5"/>
  <c r="W144" i="5"/>
  <c r="W170" i="5"/>
  <c r="W139" i="5"/>
  <c r="W154" i="5"/>
  <c r="W101" i="5"/>
  <c r="W80" i="5"/>
  <c r="W89" i="5"/>
  <c r="W65" i="5"/>
  <c r="W42" i="5"/>
  <c r="W26" i="5"/>
  <c r="W12" i="5"/>
  <c r="W9" i="5"/>
  <c r="W197" i="5"/>
  <c r="W203" i="5"/>
  <c r="W198" i="5"/>
  <c r="W169" i="5"/>
  <c r="W180" i="5"/>
  <c r="W166" i="5"/>
  <c r="W164" i="5"/>
  <c r="W141" i="5"/>
  <c r="W145" i="5"/>
  <c r="W132" i="5"/>
  <c r="W152" i="5"/>
  <c r="W115" i="5"/>
  <c r="W112" i="5"/>
  <c r="W110" i="5"/>
  <c r="W71" i="5"/>
  <c r="W91" i="5"/>
  <c r="W73" i="5"/>
  <c r="W75" i="5"/>
  <c r="W55" i="5"/>
  <c r="W58" i="5"/>
  <c r="W44" i="5"/>
  <c r="W38" i="5"/>
  <c r="W20" i="5"/>
  <c r="W46" i="5"/>
  <c r="W11" i="5"/>
  <c r="W32" i="5"/>
  <c r="W29" i="5"/>
  <c r="W18" i="5"/>
  <c r="W16" i="5"/>
  <c r="D7" i="4"/>
  <c r="E7" i="4" s="1"/>
  <c r="D6" i="4"/>
  <c r="W20" i="54" l="1"/>
  <c r="W15" i="50"/>
  <c r="W21" i="47"/>
  <c r="W21" i="51"/>
  <c r="W16" i="55"/>
  <c r="W23" i="49"/>
  <c r="W18" i="44"/>
  <c r="W21" i="52"/>
  <c r="W15" i="43"/>
  <c r="W29" i="53"/>
  <c r="W16" i="46"/>
  <c r="W15" i="48"/>
  <c r="W212" i="5"/>
  <c r="D8" i="4"/>
  <c r="E6" i="4"/>
  <c r="O3" i="5" l="1"/>
  <c r="O11" i="44"/>
  <c r="Y11" i="44" s="1"/>
  <c r="Z11" i="44" s="1"/>
  <c r="AA11" i="44" s="1"/>
  <c r="AB11" i="44" s="1"/>
  <c r="O8" i="46"/>
  <c r="Y8" i="46" s="1"/>
  <c r="Z8" i="46" s="1"/>
  <c r="AA8" i="46" s="1"/>
  <c r="AB8" i="46" s="1"/>
  <c r="O3" i="53"/>
  <c r="O3" i="42"/>
  <c r="O11" i="42"/>
  <c r="Y11" i="42" s="1"/>
  <c r="Z11" i="42" s="1"/>
  <c r="AA11" i="42" s="1"/>
  <c r="AB11" i="42" s="1"/>
  <c r="O8" i="48"/>
  <c r="Y8" i="48" s="1"/>
  <c r="Z8" i="48" s="1"/>
  <c r="AA8" i="48" s="1"/>
  <c r="AB8" i="48" s="1"/>
  <c r="O16" i="47"/>
  <c r="Y16" i="47" s="1"/>
  <c r="Z16" i="47" s="1"/>
  <c r="AA16" i="47" s="1"/>
  <c r="AB16" i="47" s="1"/>
  <c r="O11" i="48"/>
  <c r="Y11" i="48" s="1"/>
  <c r="Z11" i="48" s="1"/>
  <c r="AA11" i="48" s="1"/>
  <c r="AB11" i="48" s="1"/>
  <c r="O12" i="44"/>
  <c r="Y12" i="44" s="1"/>
  <c r="Z12" i="44" s="1"/>
  <c r="AA12" i="44" s="1"/>
  <c r="AB12" i="44" s="1"/>
  <c r="O4" i="44"/>
  <c r="Y4" i="44" s="1"/>
  <c r="Z4" i="44" s="1"/>
  <c r="AA4" i="44" s="1"/>
  <c r="AB4" i="44" s="1"/>
  <c r="O14" i="46"/>
  <c r="Y14" i="46" s="1"/>
  <c r="Z14" i="46" s="1"/>
  <c r="AA14" i="46" s="1"/>
  <c r="AB14" i="46" s="1"/>
  <c r="O13" i="42"/>
  <c r="Y13" i="42" s="1"/>
  <c r="Z13" i="42" s="1"/>
  <c r="AA13" i="42" s="1"/>
  <c r="AB13" i="42" s="1"/>
  <c r="O17" i="53"/>
  <c r="Y17" i="53" s="1"/>
  <c r="Z17" i="53" s="1"/>
  <c r="AA17" i="53" s="1"/>
  <c r="AB17" i="53" s="1"/>
  <c r="O7" i="55"/>
  <c r="Y7" i="55" s="1"/>
  <c r="Z7" i="55" s="1"/>
  <c r="AA7" i="55" s="1"/>
  <c r="AB7" i="55" s="1"/>
  <c r="O3" i="49"/>
  <c r="O12" i="49"/>
  <c r="Y12" i="49" s="1"/>
  <c r="Z12" i="49" s="1"/>
  <c r="AA12" i="49" s="1"/>
  <c r="AB12" i="49" s="1"/>
  <c r="O8" i="51"/>
  <c r="Y8" i="51" s="1"/>
  <c r="Z8" i="51" s="1"/>
  <c r="AA8" i="51" s="1"/>
  <c r="AB8" i="51" s="1"/>
  <c r="O17" i="51"/>
  <c r="Y17" i="51" s="1"/>
  <c r="Z17" i="51" s="1"/>
  <c r="AA17" i="51" s="1"/>
  <c r="AB17" i="51" s="1"/>
  <c r="O12" i="52"/>
  <c r="Y12" i="52" s="1"/>
  <c r="Z12" i="52" s="1"/>
  <c r="AA12" i="52" s="1"/>
  <c r="AB12" i="52" s="1"/>
  <c r="O14" i="52"/>
  <c r="Y14" i="52" s="1"/>
  <c r="Z14" i="52" s="1"/>
  <c r="AA14" i="52" s="1"/>
  <c r="AB14" i="52" s="1"/>
  <c r="O21" i="53"/>
  <c r="Y21" i="53" s="1"/>
  <c r="Z21" i="53" s="1"/>
  <c r="AA21" i="53" s="1"/>
  <c r="AB21" i="53" s="1"/>
  <c r="O9" i="53"/>
  <c r="Y9" i="53" s="1"/>
  <c r="Z9" i="53" s="1"/>
  <c r="AA9" i="53" s="1"/>
  <c r="AB9" i="53" s="1"/>
  <c r="O19" i="53"/>
  <c r="Y19" i="53" s="1"/>
  <c r="Z19" i="53" s="1"/>
  <c r="AA19" i="53" s="1"/>
  <c r="AB19" i="53" s="1"/>
  <c r="O11" i="54"/>
  <c r="Y11" i="54" s="1"/>
  <c r="Z11" i="54" s="1"/>
  <c r="AA11" i="54" s="1"/>
  <c r="AB11" i="54" s="1"/>
  <c r="O16" i="54"/>
  <c r="Y16" i="54" s="1"/>
  <c r="Z16" i="54" s="1"/>
  <c r="AA16" i="54" s="1"/>
  <c r="AB16" i="54" s="1"/>
  <c r="O9" i="55"/>
  <c r="Y9" i="55" s="1"/>
  <c r="Z9" i="55" s="1"/>
  <c r="AA9" i="55" s="1"/>
  <c r="AB9" i="55" s="1"/>
  <c r="O5" i="45"/>
  <c r="Y5" i="45" s="1"/>
  <c r="Z5" i="45" s="1"/>
  <c r="AA5" i="45" s="1"/>
  <c r="AB5" i="45" s="1"/>
  <c r="O6" i="48"/>
  <c r="Y6" i="48" s="1"/>
  <c r="Z6" i="48" s="1"/>
  <c r="AA6" i="48" s="1"/>
  <c r="AB6" i="48" s="1"/>
  <c r="O6" i="43"/>
  <c r="Y6" i="43" s="1"/>
  <c r="Z6" i="43" s="1"/>
  <c r="AA6" i="43" s="1"/>
  <c r="AB6" i="43" s="1"/>
  <c r="O9" i="42"/>
  <c r="Y9" i="42" s="1"/>
  <c r="Z9" i="42" s="1"/>
  <c r="AA9" i="42" s="1"/>
  <c r="AB9" i="42" s="1"/>
  <c r="O15" i="47"/>
  <c r="Y15" i="47" s="1"/>
  <c r="Z15" i="47" s="1"/>
  <c r="AA15" i="47" s="1"/>
  <c r="AB15" i="47" s="1"/>
  <c r="O10" i="51"/>
  <c r="Y10" i="51" s="1"/>
  <c r="Z10" i="51" s="1"/>
  <c r="AA10" i="51" s="1"/>
  <c r="AB10" i="51" s="1"/>
  <c r="O8" i="50"/>
  <c r="Y8" i="50" s="1"/>
  <c r="Z8" i="50" s="1"/>
  <c r="AA8" i="50" s="1"/>
  <c r="AB8" i="50" s="1"/>
  <c r="O8" i="53"/>
  <c r="Y8" i="53" s="1"/>
  <c r="Z8" i="53" s="1"/>
  <c r="AA8" i="53" s="1"/>
  <c r="AB8" i="53" s="1"/>
  <c r="O7" i="54"/>
  <c r="Y7" i="54" s="1"/>
  <c r="Z7" i="54" s="1"/>
  <c r="AA7" i="54" s="1"/>
  <c r="AB7" i="54" s="1"/>
  <c r="O15" i="44"/>
  <c r="Y15" i="44" s="1"/>
  <c r="Z15" i="44" s="1"/>
  <c r="AA15" i="44" s="1"/>
  <c r="AB15" i="44" s="1"/>
  <c r="O13" i="53"/>
  <c r="Y13" i="53" s="1"/>
  <c r="Z13" i="53" s="1"/>
  <c r="AA13" i="53" s="1"/>
  <c r="AB13" i="53" s="1"/>
  <c r="O16" i="49"/>
  <c r="Y16" i="49" s="1"/>
  <c r="Z16" i="49" s="1"/>
  <c r="AA16" i="49" s="1"/>
  <c r="AB16" i="49" s="1"/>
  <c r="O6" i="49"/>
  <c r="Y6" i="49" s="1"/>
  <c r="Z6" i="49" s="1"/>
  <c r="AA6" i="49" s="1"/>
  <c r="AB6" i="49" s="1"/>
  <c r="O21" i="49"/>
  <c r="Y21" i="49" s="1"/>
  <c r="Z21" i="49" s="1"/>
  <c r="AA21" i="49" s="1"/>
  <c r="AB21" i="49" s="1"/>
  <c r="O4" i="45"/>
  <c r="Y4" i="45" s="1"/>
  <c r="Z4" i="45" s="1"/>
  <c r="AA4" i="45" s="1"/>
  <c r="AB4" i="45" s="1"/>
  <c r="O7" i="44"/>
  <c r="Y7" i="44" s="1"/>
  <c r="Z7" i="44" s="1"/>
  <c r="AA7" i="44" s="1"/>
  <c r="AB7" i="44" s="1"/>
  <c r="O17" i="47"/>
  <c r="Y17" i="47" s="1"/>
  <c r="Z17" i="47" s="1"/>
  <c r="AA17" i="47" s="1"/>
  <c r="AB17" i="47" s="1"/>
  <c r="O11" i="43"/>
  <c r="Y11" i="43" s="1"/>
  <c r="Z11" i="43" s="1"/>
  <c r="AA11" i="43" s="1"/>
  <c r="AB11" i="43" s="1"/>
  <c r="O4" i="47"/>
  <c r="Y4" i="47" s="1"/>
  <c r="Z4" i="47" s="1"/>
  <c r="AA4" i="47" s="1"/>
  <c r="AB4" i="47" s="1"/>
  <c r="O8" i="49"/>
  <c r="Y8" i="49" s="1"/>
  <c r="Z8" i="49" s="1"/>
  <c r="AA8" i="49" s="1"/>
  <c r="AB8" i="49" s="1"/>
  <c r="O11" i="51"/>
  <c r="Y11" i="51" s="1"/>
  <c r="Z11" i="51" s="1"/>
  <c r="AA11" i="51" s="1"/>
  <c r="AB11" i="51" s="1"/>
  <c r="O15" i="52"/>
  <c r="Y15" i="52" s="1"/>
  <c r="Z15" i="52" s="1"/>
  <c r="AA15" i="52" s="1"/>
  <c r="AB15" i="52" s="1"/>
  <c r="O3" i="52"/>
  <c r="O17" i="52"/>
  <c r="Y17" i="52" s="1"/>
  <c r="Z17" i="52" s="1"/>
  <c r="AA17" i="52" s="1"/>
  <c r="AB17" i="52" s="1"/>
  <c r="O11" i="53"/>
  <c r="Y11" i="53" s="1"/>
  <c r="Z11" i="53" s="1"/>
  <c r="AA11" i="53" s="1"/>
  <c r="AB11" i="53" s="1"/>
  <c r="O3" i="54"/>
  <c r="O4" i="54"/>
  <c r="Y4" i="54" s="1"/>
  <c r="Z4" i="54" s="1"/>
  <c r="AA4" i="54" s="1"/>
  <c r="AB4" i="54" s="1"/>
  <c r="O5" i="55"/>
  <c r="Y5" i="55" s="1"/>
  <c r="Z5" i="55" s="1"/>
  <c r="AA5" i="55" s="1"/>
  <c r="AB5" i="55" s="1"/>
  <c r="O4" i="46"/>
  <c r="Y4" i="46" s="1"/>
  <c r="Z4" i="46" s="1"/>
  <c r="AA4" i="46" s="1"/>
  <c r="AB4" i="46" s="1"/>
  <c r="O3" i="47"/>
  <c r="O4" i="48"/>
  <c r="Y4" i="48" s="1"/>
  <c r="Z4" i="48" s="1"/>
  <c r="AA4" i="48" s="1"/>
  <c r="AB4" i="48" s="1"/>
  <c r="O9" i="43"/>
  <c r="Y9" i="43" s="1"/>
  <c r="Z9" i="43" s="1"/>
  <c r="AA9" i="43" s="1"/>
  <c r="AB9" i="43" s="1"/>
  <c r="O5" i="44"/>
  <c r="Y5" i="44" s="1"/>
  <c r="Z5" i="44" s="1"/>
  <c r="AA5" i="44" s="1"/>
  <c r="AB5" i="44" s="1"/>
  <c r="O6" i="42"/>
  <c r="Y6" i="42" s="1"/>
  <c r="Z6" i="42" s="1"/>
  <c r="AA6" i="42" s="1"/>
  <c r="AB6" i="42" s="1"/>
  <c r="O12" i="50"/>
  <c r="Y12" i="50" s="1"/>
  <c r="Z12" i="50" s="1"/>
  <c r="AA12" i="50" s="1"/>
  <c r="AB12" i="50" s="1"/>
  <c r="O23" i="53"/>
  <c r="Y23" i="53" s="1"/>
  <c r="Z23" i="53" s="1"/>
  <c r="AA23" i="53" s="1"/>
  <c r="AB23" i="53" s="1"/>
  <c r="O25" i="53"/>
  <c r="Y25" i="53" s="1"/>
  <c r="Z25" i="53" s="1"/>
  <c r="AA25" i="53" s="1"/>
  <c r="AB25" i="53" s="1"/>
  <c r="O3" i="44"/>
  <c r="O18" i="54"/>
  <c r="Y18" i="54" s="1"/>
  <c r="Z18" i="54" s="1"/>
  <c r="AA18" i="54" s="1"/>
  <c r="AB18" i="54" s="1"/>
  <c r="O10" i="44"/>
  <c r="Y10" i="44" s="1"/>
  <c r="Z10" i="44" s="1"/>
  <c r="AA10" i="44" s="1"/>
  <c r="AB10" i="44" s="1"/>
  <c r="O4" i="42"/>
  <c r="Y4" i="42" s="1"/>
  <c r="Z4" i="42" s="1"/>
  <c r="AA4" i="42" s="1"/>
  <c r="AB4" i="42" s="1"/>
  <c r="O7" i="53"/>
  <c r="Y7" i="53" s="1"/>
  <c r="Z7" i="53" s="1"/>
  <c r="AA7" i="53" s="1"/>
  <c r="AB7" i="53" s="1"/>
  <c r="O9" i="54"/>
  <c r="Y9" i="54" s="1"/>
  <c r="Z9" i="54" s="1"/>
  <c r="AA9" i="54" s="1"/>
  <c r="AB9" i="54" s="1"/>
  <c r="O15" i="51"/>
  <c r="Y15" i="51" s="1"/>
  <c r="Z15" i="51" s="1"/>
  <c r="AA15" i="51" s="1"/>
  <c r="AB15" i="51" s="1"/>
  <c r="O5" i="50"/>
  <c r="Y5" i="50" s="1"/>
  <c r="Z5" i="50" s="1"/>
  <c r="AA5" i="50" s="1"/>
  <c r="AB5" i="50" s="1"/>
  <c r="O13" i="50"/>
  <c r="Y13" i="50" s="1"/>
  <c r="Z13" i="50" s="1"/>
  <c r="AA13" i="50" s="1"/>
  <c r="AB13" i="50" s="1"/>
  <c r="O9" i="47"/>
  <c r="Y9" i="47" s="1"/>
  <c r="Z9" i="47" s="1"/>
  <c r="AA9" i="47" s="1"/>
  <c r="AB9" i="47" s="1"/>
  <c r="O5" i="49"/>
  <c r="Y5" i="49" s="1"/>
  <c r="Z5" i="49" s="1"/>
  <c r="AA5" i="49" s="1"/>
  <c r="AB5" i="49" s="1"/>
  <c r="O13" i="48"/>
  <c r="Y13" i="48" s="1"/>
  <c r="Z13" i="48" s="1"/>
  <c r="AA13" i="48" s="1"/>
  <c r="AB13" i="48" s="1"/>
  <c r="O10" i="46"/>
  <c r="Y10" i="46" s="1"/>
  <c r="Z10" i="46" s="1"/>
  <c r="AA10" i="46" s="1"/>
  <c r="AB10" i="46" s="1"/>
  <c r="O18" i="51"/>
  <c r="Y18" i="51" s="1"/>
  <c r="Z18" i="51" s="1"/>
  <c r="AA18" i="51" s="1"/>
  <c r="AB18" i="51" s="1"/>
  <c r="O10" i="47"/>
  <c r="Y10" i="47" s="1"/>
  <c r="Z10" i="47" s="1"/>
  <c r="AA10" i="47" s="1"/>
  <c r="AB10" i="47" s="1"/>
  <c r="O10" i="49"/>
  <c r="Y10" i="49" s="1"/>
  <c r="Z10" i="49" s="1"/>
  <c r="AA10" i="49" s="1"/>
  <c r="AB10" i="49" s="1"/>
  <c r="O4" i="50"/>
  <c r="Y4" i="50" s="1"/>
  <c r="Z4" i="50" s="1"/>
  <c r="AA4" i="50" s="1"/>
  <c r="AB4" i="50" s="1"/>
  <c r="O18" i="52"/>
  <c r="Y18" i="52" s="1"/>
  <c r="Z18" i="52" s="1"/>
  <c r="AA18" i="52" s="1"/>
  <c r="AB18" i="52" s="1"/>
  <c r="O9" i="52"/>
  <c r="Y9" i="52" s="1"/>
  <c r="Z9" i="52" s="1"/>
  <c r="AA9" i="52" s="1"/>
  <c r="AB9" i="52" s="1"/>
  <c r="O6" i="53"/>
  <c r="Y6" i="53" s="1"/>
  <c r="Z6" i="53" s="1"/>
  <c r="AA6" i="53" s="1"/>
  <c r="AB6" i="53" s="1"/>
  <c r="O18" i="53"/>
  <c r="Y18" i="53" s="1"/>
  <c r="Z18" i="53" s="1"/>
  <c r="AA18" i="53" s="1"/>
  <c r="AB18" i="53" s="1"/>
  <c r="O10" i="54"/>
  <c r="Y10" i="54" s="1"/>
  <c r="Z10" i="54" s="1"/>
  <c r="AA10" i="54" s="1"/>
  <c r="AB10" i="54" s="1"/>
  <c r="O12" i="55"/>
  <c r="Y12" i="55" s="1"/>
  <c r="Z12" i="55" s="1"/>
  <c r="AA12" i="55" s="1"/>
  <c r="AB12" i="55" s="1"/>
  <c r="O6" i="46"/>
  <c r="Y6" i="46" s="1"/>
  <c r="Z6" i="46" s="1"/>
  <c r="AA6" i="46" s="1"/>
  <c r="AB6" i="46" s="1"/>
  <c r="O11" i="47"/>
  <c r="Y11" i="47" s="1"/>
  <c r="Z11" i="47" s="1"/>
  <c r="AA11" i="47" s="1"/>
  <c r="AB11" i="47" s="1"/>
  <c r="O9" i="44"/>
  <c r="Y9" i="44" s="1"/>
  <c r="Z9" i="44" s="1"/>
  <c r="AA9" i="44" s="1"/>
  <c r="AB9" i="44" s="1"/>
  <c r="O16" i="42"/>
  <c r="Y16" i="42" s="1"/>
  <c r="Z16" i="42" s="1"/>
  <c r="AA16" i="42" s="1"/>
  <c r="AB16" i="42" s="1"/>
  <c r="O14" i="47"/>
  <c r="Y14" i="47" s="1"/>
  <c r="Z14" i="47" s="1"/>
  <c r="AA14" i="47" s="1"/>
  <c r="AB14" i="47" s="1"/>
  <c r="O19" i="49"/>
  <c r="Y19" i="49" s="1"/>
  <c r="Z19" i="49" s="1"/>
  <c r="AA19" i="49" s="1"/>
  <c r="AB19" i="49" s="1"/>
  <c r="O10" i="45"/>
  <c r="Y10" i="45" s="1"/>
  <c r="Z10" i="45" s="1"/>
  <c r="AA10" i="45" s="1"/>
  <c r="AB10" i="45" s="1"/>
  <c r="O3" i="43"/>
  <c r="O5" i="52"/>
  <c r="Y5" i="52" s="1"/>
  <c r="Z5" i="52" s="1"/>
  <c r="AA5" i="52" s="1"/>
  <c r="AB5" i="52" s="1"/>
  <c r="O14" i="51"/>
  <c r="Y14" i="51" s="1"/>
  <c r="Z14" i="51" s="1"/>
  <c r="AA14" i="51" s="1"/>
  <c r="AB14" i="51" s="1"/>
  <c r="O3" i="48"/>
  <c r="O13" i="51"/>
  <c r="Y13" i="51" s="1"/>
  <c r="Z13" i="51" s="1"/>
  <c r="AA13" i="51" s="1"/>
  <c r="AB13" i="51" s="1"/>
  <c r="O5" i="47"/>
  <c r="Y5" i="47" s="1"/>
  <c r="Z5" i="47" s="1"/>
  <c r="AA5" i="47" s="1"/>
  <c r="AB5" i="47" s="1"/>
  <c r="O19" i="47"/>
  <c r="Y19" i="47" s="1"/>
  <c r="Z19" i="47" s="1"/>
  <c r="AA19" i="47" s="1"/>
  <c r="AB19" i="47" s="1"/>
  <c r="O11" i="49"/>
  <c r="Y11" i="49" s="1"/>
  <c r="Z11" i="49" s="1"/>
  <c r="AA11" i="49" s="1"/>
  <c r="AB11" i="49" s="1"/>
  <c r="O16" i="51"/>
  <c r="Y16" i="51" s="1"/>
  <c r="Z16" i="51" s="1"/>
  <c r="AA16" i="51" s="1"/>
  <c r="AB16" i="51" s="1"/>
  <c r="O12" i="51"/>
  <c r="Y12" i="51" s="1"/>
  <c r="Z12" i="51" s="1"/>
  <c r="AA12" i="51" s="1"/>
  <c r="AB12" i="51" s="1"/>
  <c r="O16" i="52"/>
  <c r="Y16" i="52" s="1"/>
  <c r="Z16" i="52" s="1"/>
  <c r="AA16" i="52" s="1"/>
  <c r="AB16" i="52" s="1"/>
  <c r="O8" i="52"/>
  <c r="Y8" i="52" s="1"/>
  <c r="Z8" i="52" s="1"/>
  <c r="AA8" i="52" s="1"/>
  <c r="AB8" i="52" s="1"/>
  <c r="O5" i="53"/>
  <c r="Y5" i="53" s="1"/>
  <c r="Z5" i="53" s="1"/>
  <c r="AA5" i="53" s="1"/>
  <c r="AB5" i="53" s="1"/>
  <c r="O26" i="53"/>
  <c r="Y26" i="53" s="1"/>
  <c r="Z26" i="53" s="1"/>
  <c r="AA26" i="53" s="1"/>
  <c r="AB26" i="53" s="1"/>
  <c r="O5" i="54"/>
  <c r="Y5" i="54" s="1"/>
  <c r="Z5" i="54" s="1"/>
  <c r="AA5" i="54" s="1"/>
  <c r="AB5" i="54" s="1"/>
  <c r="O8" i="55"/>
  <c r="Y8" i="55" s="1"/>
  <c r="Z8" i="55" s="1"/>
  <c r="AA8" i="55" s="1"/>
  <c r="AB8" i="55" s="1"/>
  <c r="O12" i="45"/>
  <c r="Y12" i="45" s="1"/>
  <c r="Z12" i="45" s="1"/>
  <c r="AA12" i="45" s="1"/>
  <c r="AB12" i="45" s="1"/>
  <c r="O6" i="47"/>
  <c r="Y6" i="47" s="1"/>
  <c r="Z6" i="47" s="1"/>
  <c r="AA6" i="47" s="1"/>
  <c r="AB6" i="47" s="1"/>
  <c r="O10" i="43"/>
  <c r="Y10" i="43" s="1"/>
  <c r="Z10" i="43" s="1"/>
  <c r="AA10" i="43" s="1"/>
  <c r="AB10" i="43" s="1"/>
  <c r="O16" i="44"/>
  <c r="Y16" i="44" s="1"/>
  <c r="Z16" i="44" s="1"/>
  <c r="AA16" i="44" s="1"/>
  <c r="AB16" i="44" s="1"/>
  <c r="O13" i="44"/>
  <c r="Y13" i="44" s="1"/>
  <c r="Z13" i="44" s="1"/>
  <c r="AA13" i="44" s="1"/>
  <c r="AB13" i="44" s="1"/>
  <c r="O13" i="47"/>
  <c r="Y13" i="47" s="1"/>
  <c r="Z13" i="47" s="1"/>
  <c r="AA13" i="47" s="1"/>
  <c r="AB13" i="47" s="1"/>
  <c r="O18" i="47"/>
  <c r="Y18" i="47" s="1"/>
  <c r="Z18" i="47" s="1"/>
  <c r="AA18" i="47" s="1"/>
  <c r="AB18" i="47" s="1"/>
  <c r="O7" i="49"/>
  <c r="Y7" i="49" s="1"/>
  <c r="Z7" i="49" s="1"/>
  <c r="AA7" i="49" s="1"/>
  <c r="AB7" i="49" s="1"/>
  <c r="O14" i="53"/>
  <c r="Y14" i="53" s="1"/>
  <c r="Z14" i="53" s="1"/>
  <c r="AA14" i="53" s="1"/>
  <c r="AB14" i="53" s="1"/>
  <c r="O11" i="46"/>
  <c r="Y11" i="46" s="1"/>
  <c r="Z11" i="46" s="1"/>
  <c r="AA11" i="46" s="1"/>
  <c r="AB11" i="46" s="1"/>
  <c r="O12" i="46"/>
  <c r="Y12" i="46" s="1"/>
  <c r="Z12" i="46" s="1"/>
  <c r="AA12" i="46" s="1"/>
  <c r="AB12" i="46" s="1"/>
  <c r="O7" i="42"/>
  <c r="Y7" i="42" s="1"/>
  <c r="Z7" i="42" s="1"/>
  <c r="AA7" i="42" s="1"/>
  <c r="AB7" i="42" s="1"/>
  <c r="O13" i="43"/>
  <c r="Y13" i="43" s="1"/>
  <c r="Z13" i="43" s="1"/>
  <c r="AA13" i="43" s="1"/>
  <c r="AB13" i="43" s="1"/>
  <c r="O16" i="53"/>
  <c r="Y16" i="53" s="1"/>
  <c r="Z16" i="53" s="1"/>
  <c r="AA16" i="53" s="1"/>
  <c r="AB16" i="53" s="1"/>
  <c r="O4" i="52"/>
  <c r="Y4" i="52" s="1"/>
  <c r="Z4" i="52" s="1"/>
  <c r="AA4" i="52" s="1"/>
  <c r="AB4" i="52" s="1"/>
  <c r="O10" i="48"/>
  <c r="Y10" i="48" s="1"/>
  <c r="Z10" i="48" s="1"/>
  <c r="AA10" i="48" s="1"/>
  <c r="AB10" i="48" s="1"/>
  <c r="O20" i="49"/>
  <c r="Y20" i="49" s="1"/>
  <c r="Z20" i="49" s="1"/>
  <c r="AA20" i="49" s="1"/>
  <c r="AB20" i="49" s="1"/>
  <c r="O4" i="53"/>
  <c r="Y4" i="53" s="1"/>
  <c r="Z4" i="53" s="1"/>
  <c r="AA4" i="53" s="1"/>
  <c r="AB4" i="53" s="1"/>
  <c r="O9" i="48"/>
  <c r="Y9" i="48" s="1"/>
  <c r="Z9" i="48" s="1"/>
  <c r="AA9" i="48" s="1"/>
  <c r="AB9" i="48" s="1"/>
  <c r="O4" i="49"/>
  <c r="Y4" i="49" s="1"/>
  <c r="Z4" i="49" s="1"/>
  <c r="AA4" i="49" s="1"/>
  <c r="AB4" i="49" s="1"/>
  <c r="O5" i="43"/>
  <c r="Y5" i="43" s="1"/>
  <c r="Z5" i="43" s="1"/>
  <c r="AA5" i="43" s="1"/>
  <c r="AB5" i="43" s="1"/>
  <c r="O15" i="49"/>
  <c r="Y15" i="49" s="1"/>
  <c r="Z15" i="49" s="1"/>
  <c r="AA15" i="49" s="1"/>
  <c r="AB15" i="49" s="1"/>
  <c r="O3" i="51"/>
  <c r="O7" i="52"/>
  <c r="Y7" i="52" s="1"/>
  <c r="Z7" i="52" s="1"/>
  <c r="AA7" i="52" s="1"/>
  <c r="AB7" i="52" s="1"/>
  <c r="O11" i="52"/>
  <c r="Y11" i="52" s="1"/>
  <c r="Z11" i="52" s="1"/>
  <c r="AA11" i="52" s="1"/>
  <c r="AB11" i="52" s="1"/>
  <c r="O13" i="54"/>
  <c r="Y13" i="54" s="1"/>
  <c r="Z13" i="54" s="1"/>
  <c r="AA13" i="54" s="1"/>
  <c r="AB13" i="54" s="1"/>
  <c r="O12" i="54"/>
  <c r="Y12" i="54" s="1"/>
  <c r="Z12" i="54" s="1"/>
  <c r="AA12" i="54" s="1"/>
  <c r="AB12" i="54" s="1"/>
  <c r="O10" i="55"/>
  <c r="Y10" i="55" s="1"/>
  <c r="Z10" i="55" s="1"/>
  <c r="AA10" i="55" s="1"/>
  <c r="AB10" i="55" s="1"/>
  <c r="O11" i="55"/>
  <c r="Y11" i="55" s="1"/>
  <c r="Z11" i="55" s="1"/>
  <c r="AA11" i="55" s="1"/>
  <c r="AB11" i="55" s="1"/>
  <c r="O8" i="47"/>
  <c r="Y8" i="47" s="1"/>
  <c r="Z8" i="47" s="1"/>
  <c r="AA8" i="47" s="1"/>
  <c r="AB8" i="47" s="1"/>
  <c r="O7" i="48"/>
  <c r="Y7" i="48" s="1"/>
  <c r="Z7" i="48" s="1"/>
  <c r="AA7" i="48" s="1"/>
  <c r="AB7" i="48" s="1"/>
  <c r="O12" i="48"/>
  <c r="Y12" i="48" s="1"/>
  <c r="Z12" i="48" s="1"/>
  <c r="AA12" i="48" s="1"/>
  <c r="AB12" i="48" s="1"/>
  <c r="O6" i="44"/>
  <c r="Y6" i="44" s="1"/>
  <c r="Z6" i="44" s="1"/>
  <c r="AA6" i="44" s="1"/>
  <c r="AB6" i="44" s="1"/>
  <c r="O14" i="42"/>
  <c r="Y14" i="42" s="1"/>
  <c r="Z14" i="42" s="1"/>
  <c r="AA14" i="42" s="1"/>
  <c r="AB14" i="42" s="1"/>
  <c r="O15" i="42"/>
  <c r="Y15" i="42" s="1"/>
  <c r="Z15" i="42" s="1"/>
  <c r="AA15" i="42" s="1"/>
  <c r="AB15" i="42" s="1"/>
  <c r="O10" i="42"/>
  <c r="Y10" i="42" s="1"/>
  <c r="Z10" i="42" s="1"/>
  <c r="AA10" i="42" s="1"/>
  <c r="AB10" i="42" s="1"/>
  <c r="O3" i="46"/>
  <c r="O22" i="53"/>
  <c r="Y22" i="53" s="1"/>
  <c r="Z22" i="53" s="1"/>
  <c r="AA22" i="53" s="1"/>
  <c r="AB22" i="53" s="1"/>
  <c r="O19" i="52"/>
  <c r="Y19" i="52" s="1"/>
  <c r="Z19" i="52" s="1"/>
  <c r="AA19" i="52" s="1"/>
  <c r="AB19" i="52" s="1"/>
  <c r="O14" i="49"/>
  <c r="Y14" i="49" s="1"/>
  <c r="Z14" i="49" s="1"/>
  <c r="AA14" i="49" s="1"/>
  <c r="AB14" i="49" s="1"/>
  <c r="O4" i="43"/>
  <c r="Y4" i="43" s="1"/>
  <c r="Z4" i="43" s="1"/>
  <c r="AA4" i="43" s="1"/>
  <c r="AB4" i="43" s="1"/>
  <c r="O17" i="44"/>
  <c r="Y17" i="44" s="1"/>
  <c r="Z17" i="44" s="1"/>
  <c r="AA17" i="44" s="1"/>
  <c r="AB17" i="44" s="1"/>
  <c r="O9" i="46"/>
  <c r="Y9" i="46" s="1"/>
  <c r="Z9" i="46" s="1"/>
  <c r="AA9" i="46" s="1"/>
  <c r="AB9" i="46" s="1"/>
  <c r="O8" i="45"/>
  <c r="Y8" i="45" s="1"/>
  <c r="Z8" i="45" s="1"/>
  <c r="AA8" i="45" s="1"/>
  <c r="AB8" i="45" s="1"/>
  <c r="O6" i="54"/>
  <c r="Y6" i="54" s="1"/>
  <c r="Z6" i="54" s="1"/>
  <c r="AA6" i="54" s="1"/>
  <c r="AB6" i="54" s="1"/>
  <c r="O17" i="49"/>
  <c r="Y17" i="49" s="1"/>
  <c r="Z17" i="49" s="1"/>
  <c r="AA17" i="49" s="1"/>
  <c r="AB17" i="49" s="1"/>
  <c r="O27" i="53"/>
  <c r="Y27" i="53" s="1"/>
  <c r="Z27" i="53" s="1"/>
  <c r="AA27" i="53" s="1"/>
  <c r="AB27" i="53" s="1"/>
  <c r="O9" i="49"/>
  <c r="Y9" i="49" s="1"/>
  <c r="Z9" i="49" s="1"/>
  <c r="AA9" i="49" s="1"/>
  <c r="AB9" i="49" s="1"/>
  <c r="O5" i="42"/>
  <c r="Y5" i="42" s="1"/>
  <c r="Z5" i="42" s="1"/>
  <c r="AA5" i="42" s="1"/>
  <c r="AB5" i="42" s="1"/>
  <c r="O6" i="50"/>
  <c r="Y6" i="50" s="1"/>
  <c r="Z6" i="50" s="1"/>
  <c r="AA6" i="50" s="1"/>
  <c r="AB6" i="50" s="1"/>
  <c r="O9" i="51"/>
  <c r="Y9" i="51" s="1"/>
  <c r="Z9" i="51" s="1"/>
  <c r="AA9" i="51" s="1"/>
  <c r="AB9" i="51" s="1"/>
  <c r="O19" i="51"/>
  <c r="Y19" i="51" s="1"/>
  <c r="Z19" i="51" s="1"/>
  <c r="AA19" i="51" s="1"/>
  <c r="AB19" i="51" s="1"/>
  <c r="O13" i="52"/>
  <c r="Y13" i="52" s="1"/>
  <c r="Z13" i="52" s="1"/>
  <c r="AA13" i="52" s="1"/>
  <c r="AB13" i="52" s="1"/>
  <c r="O10" i="53"/>
  <c r="Y10" i="53" s="1"/>
  <c r="Z10" i="53" s="1"/>
  <c r="AA10" i="53" s="1"/>
  <c r="AB10" i="53" s="1"/>
  <c r="O14" i="54"/>
  <c r="Y14" i="54" s="1"/>
  <c r="Z14" i="54" s="1"/>
  <c r="AA14" i="54" s="1"/>
  <c r="AB14" i="54" s="1"/>
  <c r="O15" i="54"/>
  <c r="Y15" i="54" s="1"/>
  <c r="Z15" i="54" s="1"/>
  <c r="AA15" i="54" s="1"/>
  <c r="AB15" i="54" s="1"/>
  <c r="O13" i="55"/>
  <c r="Y13" i="55" s="1"/>
  <c r="Z13" i="55" s="1"/>
  <c r="AA13" i="55" s="1"/>
  <c r="AB13" i="55" s="1"/>
  <c r="O3" i="45"/>
  <c r="O11" i="45"/>
  <c r="Y11" i="45" s="1"/>
  <c r="Z11" i="45" s="1"/>
  <c r="AA11" i="45" s="1"/>
  <c r="AB11" i="45" s="1"/>
  <c r="O7" i="46"/>
  <c r="Y7" i="46" s="1"/>
  <c r="Z7" i="46" s="1"/>
  <c r="AA7" i="46" s="1"/>
  <c r="AB7" i="46" s="1"/>
  <c r="O12" i="43"/>
  <c r="Y12" i="43" s="1"/>
  <c r="Z12" i="43" s="1"/>
  <c r="AA12" i="43" s="1"/>
  <c r="AB12" i="43" s="1"/>
  <c r="O12" i="42"/>
  <c r="Y12" i="42" s="1"/>
  <c r="Z12" i="42" s="1"/>
  <c r="AA12" i="42" s="1"/>
  <c r="AB12" i="42" s="1"/>
  <c r="O10" i="50"/>
  <c r="Y10" i="50" s="1"/>
  <c r="Z10" i="50" s="1"/>
  <c r="AA10" i="50" s="1"/>
  <c r="AB10" i="50" s="1"/>
  <c r="O13" i="49"/>
  <c r="Y13" i="49" s="1"/>
  <c r="Z13" i="49" s="1"/>
  <c r="AA13" i="49" s="1"/>
  <c r="AB13" i="49" s="1"/>
  <c r="O6" i="51"/>
  <c r="Y6" i="51" s="1"/>
  <c r="Z6" i="51" s="1"/>
  <c r="AA6" i="51" s="1"/>
  <c r="AB6" i="51" s="1"/>
  <c r="O10" i="52"/>
  <c r="Y10" i="52" s="1"/>
  <c r="Z10" i="52" s="1"/>
  <c r="AA10" i="52" s="1"/>
  <c r="AB10" i="52" s="1"/>
  <c r="O4" i="55"/>
  <c r="Y4" i="55" s="1"/>
  <c r="Z4" i="55" s="1"/>
  <c r="AA4" i="55" s="1"/>
  <c r="AB4" i="55" s="1"/>
  <c r="O8" i="42"/>
  <c r="Y8" i="42" s="1"/>
  <c r="Z8" i="42" s="1"/>
  <c r="AA8" i="42" s="1"/>
  <c r="AB8" i="42" s="1"/>
  <c r="O11" i="50"/>
  <c r="Y11" i="50" s="1"/>
  <c r="Z11" i="50" s="1"/>
  <c r="AA11" i="50" s="1"/>
  <c r="AB11" i="50" s="1"/>
  <c r="O5" i="48"/>
  <c r="Y5" i="48" s="1"/>
  <c r="Z5" i="48" s="1"/>
  <c r="AA5" i="48" s="1"/>
  <c r="AB5" i="48" s="1"/>
  <c r="O7" i="47"/>
  <c r="Y7" i="47" s="1"/>
  <c r="Z7" i="47" s="1"/>
  <c r="AA7" i="47" s="1"/>
  <c r="AB7" i="47" s="1"/>
  <c r="O5" i="46"/>
  <c r="Y5" i="46" s="1"/>
  <c r="Z5" i="46" s="1"/>
  <c r="AA5" i="46" s="1"/>
  <c r="AB5" i="46" s="1"/>
  <c r="O17" i="54"/>
  <c r="Y17" i="54" s="1"/>
  <c r="Z17" i="54" s="1"/>
  <c r="AA17" i="54" s="1"/>
  <c r="AB17" i="54" s="1"/>
  <c r="O3" i="55"/>
  <c r="O24" i="53"/>
  <c r="Y24" i="53" s="1"/>
  <c r="Z24" i="53" s="1"/>
  <c r="AA24" i="53" s="1"/>
  <c r="AB24" i="53" s="1"/>
  <c r="O9" i="50"/>
  <c r="Y9" i="50" s="1"/>
  <c r="Z9" i="50" s="1"/>
  <c r="AA9" i="50" s="1"/>
  <c r="AB9" i="50" s="1"/>
  <c r="O3" i="50"/>
  <c r="O18" i="49"/>
  <c r="Y18" i="49" s="1"/>
  <c r="Z18" i="49" s="1"/>
  <c r="AA18" i="49" s="1"/>
  <c r="AB18" i="49" s="1"/>
  <c r="O5" i="51"/>
  <c r="Y5" i="51" s="1"/>
  <c r="Z5" i="51" s="1"/>
  <c r="AA5" i="51" s="1"/>
  <c r="AB5" i="51" s="1"/>
  <c r="O4" i="51"/>
  <c r="Y4" i="51" s="1"/>
  <c r="Z4" i="51" s="1"/>
  <c r="AA4" i="51" s="1"/>
  <c r="AB4" i="51" s="1"/>
  <c r="O6" i="52"/>
  <c r="Y6" i="52" s="1"/>
  <c r="Z6" i="52" s="1"/>
  <c r="AA6" i="52" s="1"/>
  <c r="AB6" i="52" s="1"/>
  <c r="O15" i="53"/>
  <c r="Y15" i="53" s="1"/>
  <c r="Z15" i="53" s="1"/>
  <c r="AA15" i="53" s="1"/>
  <c r="AB15" i="53" s="1"/>
  <c r="O12" i="53"/>
  <c r="Y12" i="53" s="1"/>
  <c r="Z12" i="53" s="1"/>
  <c r="AA12" i="53" s="1"/>
  <c r="AB12" i="53" s="1"/>
  <c r="O8" i="54"/>
  <c r="Y8" i="54" s="1"/>
  <c r="Z8" i="54" s="1"/>
  <c r="AA8" i="54" s="1"/>
  <c r="AB8" i="54" s="1"/>
  <c r="O6" i="55"/>
  <c r="Y6" i="55" s="1"/>
  <c r="Z6" i="55" s="1"/>
  <c r="AA6" i="55" s="1"/>
  <c r="AB6" i="55" s="1"/>
  <c r="O9" i="45"/>
  <c r="Y9" i="45" s="1"/>
  <c r="Z9" i="45" s="1"/>
  <c r="AA9" i="45" s="1"/>
  <c r="AB9" i="45" s="1"/>
  <c r="O6" i="45"/>
  <c r="Y6" i="45" s="1"/>
  <c r="Z6" i="45" s="1"/>
  <c r="AA6" i="45" s="1"/>
  <c r="AB6" i="45" s="1"/>
  <c r="O13" i="46"/>
  <c r="Y13" i="46" s="1"/>
  <c r="Z13" i="46" s="1"/>
  <c r="AA13" i="46" s="1"/>
  <c r="AB13" i="46" s="1"/>
  <c r="O8" i="43"/>
  <c r="Y8" i="43" s="1"/>
  <c r="Z8" i="43" s="1"/>
  <c r="AA8" i="43" s="1"/>
  <c r="AB8" i="43" s="1"/>
  <c r="O14" i="44"/>
  <c r="Y14" i="44" s="1"/>
  <c r="Z14" i="44" s="1"/>
  <c r="AA14" i="44" s="1"/>
  <c r="AB14" i="44" s="1"/>
  <c r="O8" i="44"/>
  <c r="Y8" i="44" s="1"/>
  <c r="Z8" i="44" s="1"/>
  <c r="AA8" i="44" s="1"/>
  <c r="AB8" i="44" s="1"/>
  <c r="O7" i="51"/>
  <c r="Y7" i="51" s="1"/>
  <c r="Z7" i="51" s="1"/>
  <c r="AA7" i="51" s="1"/>
  <c r="AB7" i="51" s="1"/>
  <c r="O7" i="45"/>
  <c r="Y7" i="45" s="1"/>
  <c r="Z7" i="45" s="1"/>
  <c r="AA7" i="45" s="1"/>
  <c r="AB7" i="45" s="1"/>
  <c r="O12" i="47"/>
  <c r="Y12" i="47" s="1"/>
  <c r="Z12" i="47" s="1"/>
  <c r="AA12" i="47" s="1"/>
  <c r="AB12" i="47" s="1"/>
  <c r="O20" i="53"/>
  <c r="Y20" i="53" s="1"/>
  <c r="O7" i="50"/>
  <c r="Y7" i="50" s="1"/>
  <c r="Z7" i="50" s="1"/>
  <c r="AA7" i="50" s="1"/>
  <c r="AB7" i="50" s="1"/>
  <c r="O14" i="55"/>
  <c r="Y14" i="55" s="1"/>
  <c r="Z14" i="55" s="1"/>
  <c r="AA14" i="55" s="1"/>
  <c r="AB14" i="55" s="1"/>
  <c r="O7" i="43"/>
  <c r="Y7" i="43" s="1"/>
  <c r="Z7" i="43" s="1"/>
  <c r="AA7" i="43" s="1"/>
  <c r="AB7" i="43" s="1"/>
  <c r="O4" i="5"/>
  <c r="Y4" i="5" s="1"/>
  <c r="Z4" i="5" s="1"/>
  <c r="O13" i="5"/>
  <c r="Y13" i="5" s="1"/>
  <c r="Z13" i="5" s="1"/>
  <c r="O14" i="5"/>
  <c r="Y14" i="5" s="1"/>
  <c r="Z14" i="5" s="1"/>
  <c r="O17" i="5"/>
  <c r="Y17" i="5" s="1"/>
  <c r="Z17" i="5" s="1"/>
  <c r="O11" i="5"/>
  <c r="Y11" i="5" s="1"/>
  <c r="Z11" i="5" s="1"/>
  <c r="O22" i="5"/>
  <c r="Y22" i="5" s="1"/>
  <c r="Z22" i="5" s="1"/>
  <c r="O5" i="5"/>
  <c r="Y5" i="5" s="1"/>
  <c r="Z5" i="5" s="1"/>
  <c r="O23" i="5"/>
  <c r="Y23" i="5" s="1"/>
  <c r="Z23" i="5" s="1"/>
  <c r="O36" i="5"/>
  <c r="Y36" i="5" s="1"/>
  <c r="Z36" i="5" s="1"/>
  <c r="O31" i="5"/>
  <c r="Y31" i="5" s="1"/>
  <c r="Z31" i="5" s="1"/>
  <c r="O27" i="5"/>
  <c r="Y27" i="5" s="1"/>
  <c r="Z27" i="5" s="1"/>
  <c r="O38" i="5"/>
  <c r="Y38" i="5" s="1"/>
  <c r="Z38" i="5" s="1"/>
  <c r="O63" i="5"/>
  <c r="Y63" i="5" s="1"/>
  <c r="Z63" i="5" s="1"/>
  <c r="O54" i="5"/>
  <c r="Y54" i="5" s="1"/>
  <c r="Z54" i="5" s="1"/>
  <c r="O76" i="5"/>
  <c r="Y76" i="5" s="1"/>
  <c r="Z76" i="5" s="1"/>
  <c r="O89" i="5"/>
  <c r="Y89" i="5" s="1"/>
  <c r="Z89" i="5" s="1"/>
  <c r="O90" i="5"/>
  <c r="Y90" i="5" s="1"/>
  <c r="Z90" i="5" s="1"/>
  <c r="O96" i="5"/>
  <c r="Y96" i="5" s="1"/>
  <c r="Z96" i="5" s="1"/>
  <c r="O101" i="5"/>
  <c r="Y101" i="5" s="1"/>
  <c r="Z101" i="5" s="1"/>
  <c r="O100" i="5"/>
  <c r="Y100" i="5" s="1"/>
  <c r="Z100" i="5" s="1"/>
  <c r="O111" i="5"/>
  <c r="Y111" i="5" s="1"/>
  <c r="Z111" i="5" s="1"/>
  <c r="O120" i="5"/>
  <c r="Y120" i="5" s="1"/>
  <c r="Z120" i="5" s="1"/>
  <c r="O131" i="5"/>
  <c r="Y131" i="5" s="1"/>
  <c r="Z131" i="5" s="1"/>
  <c r="O133" i="5"/>
  <c r="Y133" i="5" s="1"/>
  <c r="Z133" i="5" s="1"/>
  <c r="O95" i="5"/>
  <c r="Y95" i="5" s="1"/>
  <c r="Z95" i="5" s="1"/>
  <c r="O109" i="5"/>
  <c r="Y109" i="5" s="1"/>
  <c r="Z109" i="5" s="1"/>
  <c r="O117" i="5"/>
  <c r="Y117" i="5" s="1"/>
  <c r="Z117" i="5" s="1"/>
  <c r="O110" i="5"/>
  <c r="Y110" i="5" s="1"/>
  <c r="Z110" i="5" s="1"/>
  <c r="O148" i="5"/>
  <c r="Y148" i="5" s="1"/>
  <c r="Z148" i="5" s="1"/>
  <c r="O157" i="5"/>
  <c r="Y157" i="5" s="1"/>
  <c r="Z157" i="5" s="1"/>
  <c r="O164" i="5"/>
  <c r="Y164" i="5" s="1"/>
  <c r="Z164" i="5" s="1"/>
  <c r="O170" i="5"/>
  <c r="Y170" i="5" s="1"/>
  <c r="Z170" i="5" s="1"/>
  <c r="O176" i="5"/>
  <c r="Y176" i="5" s="1"/>
  <c r="Z176" i="5" s="1"/>
  <c r="O160" i="5"/>
  <c r="Y160" i="5" s="1"/>
  <c r="Z160" i="5" s="1"/>
  <c r="O188" i="5"/>
  <c r="Y188" i="5" s="1"/>
  <c r="Z188" i="5" s="1"/>
  <c r="O203" i="5"/>
  <c r="Y203" i="5" s="1"/>
  <c r="Z203" i="5" s="1"/>
  <c r="O197" i="5"/>
  <c r="Y197" i="5" s="1"/>
  <c r="Z197" i="5" s="1"/>
  <c r="O186" i="5"/>
  <c r="Y186" i="5" s="1"/>
  <c r="Z186" i="5" s="1"/>
  <c r="O199" i="5"/>
  <c r="Y199" i="5" s="1"/>
  <c r="Z199" i="5" s="1"/>
  <c r="O204" i="5"/>
  <c r="Y204" i="5" s="1"/>
  <c r="Z204" i="5" s="1"/>
  <c r="O182" i="5"/>
  <c r="Y182" i="5" s="1"/>
  <c r="Z182" i="5" s="1"/>
  <c r="O175" i="5"/>
  <c r="Y175" i="5" s="1"/>
  <c r="Z175" i="5" s="1"/>
  <c r="O152" i="5"/>
  <c r="Y152" i="5" s="1"/>
  <c r="Z152" i="5" s="1"/>
  <c r="O145" i="5"/>
  <c r="Y145" i="5" s="1"/>
  <c r="Z145" i="5" s="1"/>
  <c r="O121" i="5"/>
  <c r="Y121" i="5" s="1"/>
  <c r="Z121" i="5" s="1"/>
  <c r="O150" i="5"/>
  <c r="Y150" i="5" s="1"/>
  <c r="Z150" i="5" s="1"/>
  <c r="O126" i="5"/>
  <c r="Y126" i="5" s="1"/>
  <c r="Z126" i="5" s="1"/>
  <c r="O98" i="5"/>
  <c r="Y98" i="5" s="1"/>
  <c r="Z98" i="5" s="1"/>
  <c r="O115" i="5"/>
  <c r="Y115" i="5" s="1"/>
  <c r="Z115" i="5" s="1"/>
  <c r="O92" i="5"/>
  <c r="Y92" i="5" s="1"/>
  <c r="Z92" i="5" s="1"/>
  <c r="O83" i="5"/>
  <c r="Y83" i="5" s="1"/>
  <c r="Z83" i="5" s="1"/>
  <c r="O66" i="5"/>
  <c r="Y66" i="5" s="1"/>
  <c r="Z66" i="5" s="1"/>
  <c r="O64" i="5"/>
  <c r="Y64" i="5" s="1"/>
  <c r="Z64" i="5" s="1"/>
  <c r="O35" i="5"/>
  <c r="Y35" i="5" s="1"/>
  <c r="Z35" i="5" s="1"/>
  <c r="O19" i="5"/>
  <c r="Y19" i="5" s="1"/>
  <c r="Z19" i="5" s="1"/>
  <c r="AA19" i="5" s="1"/>
  <c r="O30" i="5"/>
  <c r="Y30" i="5" s="1"/>
  <c r="Z30" i="5" s="1"/>
  <c r="O15" i="5"/>
  <c r="Y15" i="5" s="1"/>
  <c r="Z15" i="5" s="1"/>
  <c r="O21" i="5"/>
  <c r="Y21" i="5" s="1"/>
  <c r="Z21" i="5" s="1"/>
  <c r="O132" i="5"/>
  <c r="Y132" i="5" s="1"/>
  <c r="Z132" i="5" s="1"/>
  <c r="O75" i="5"/>
  <c r="Y75" i="5" s="1"/>
  <c r="Z75" i="5" s="1"/>
  <c r="O85" i="5"/>
  <c r="Y85" i="5" s="1"/>
  <c r="Z85" i="5" s="1"/>
  <c r="O72" i="5"/>
  <c r="Y72" i="5" s="1"/>
  <c r="Z72" i="5" s="1"/>
  <c r="O42" i="5"/>
  <c r="Y42" i="5" s="1"/>
  <c r="Z42" i="5" s="1"/>
  <c r="O205" i="5"/>
  <c r="Y205" i="5" s="1"/>
  <c r="Z205" i="5" s="1"/>
  <c r="O201" i="5"/>
  <c r="Y201" i="5" s="1"/>
  <c r="Z201" i="5" s="1"/>
  <c r="O189" i="5"/>
  <c r="Y189" i="5" s="1"/>
  <c r="Z189" i="5" s="1"/>
  <c r="O169" i="5"/>
  <c r="Y169" i="5" s="1"/>
  <c r="Z169" i="5" s="1"/>
  <c r="O181" i="5"/>
  <c r="Y181" i="5" s="1"/>
  <c r="Z181" i="5" s="1"/>
  <c r="O135" i="5"/>
  <c r="Y135" i="5" s="1"/>
  <c r="Z135" i="5" s="1"/>
  <c r="O108" i="5"/>
  <c r="Y108" i="5" s="1"/>
  <c r="Z108" i="5" s="1"/>
  <c r="O146" i="5"/>
  <c r="Y146" i="5" s="1"/>
  <c r="Z146" i="5" s="1"/>
  <c r="O112" i="5"/>
  <c r="Y112" i="5" s="1"/>
  <c r="Z112" i="5" s="1"/>
  <c r="O33" i="5"/>
  <c r="Y33" i="5" s="1"/>
  <c r="Z33" i="5" s="1"/>
  <c r="O192" i="5"/>
  <c r="Y192" i="5" s="1"/>
  <c r="Z192" i="5" s="1"/>
  <c r="O195" i="5"/>
  <c r="Y195" i="5" s="1"/>
  <c r="Z195" i="5" s="1"/>
  <c r="O187" i="5"/>
  <c r="Y187" i="5" s="1"/>
  <c r="Z187" i="5" s="1"/>
  <c r="O196" i="5"/>
  <c r="Y196" i="5" s="1"/>
  <c r="Z196" i="5" s="1"/>
  <c r="O168" i="5"/>
  <c r="Y168" i="5" s="1"/>
  <c r="Z168" i="5" s="1"/>
  <c r="O167" i="5"/>
  <c r="Y167" i="5" s="1"/>
  <c r="Z167" i="5" s="1"/>
  <c r="O178" i="5"/>
  <c r="Y178" i="5" s="1"/>
  <c r="Z178" i="5" s="1"/>
  <c r="O139" i="5"/>
  <c r="Y139" i="5" s="1"/>
  <c r="Z139" i="5" s="1"/>
  <c r="O125" i="5"/>
  <c r="Y125" i="5" s="1"/>
  <c r="Z125" i="5" s="1"/>
  <c r="O147" i="5"/>
  <c r="Y147" i="5" s="1"/>
  <c r="Z147" i="5" s="1"/>
  <c r="O106" i="5"/>
  <c r="Y106" i="5" s="1"/>
  <c r="Z106" i="5" s="1"/>
  <c r="O105" i="5"/>
  <c r="Y105" i="5" s="1"/>
  <c r="Z105" i="5" s="1"/>
  <c r="O81" i="5"/>
  <c r="Y81" i="5" s="1"/>
  <c r="Z81" i="5" s="1"/>
  <c r="O94" i="5"/>
  <c r="Y94" i="5" s="1"/>
  <c r="Z94" i="5" s="1"/>
  <c r="O50" i="5"/>
  <c r="Y50" i="5" s="1"/>
  <c r="Z50" i="5" s="1"/>
  <c r="O58" i="5"/>
  <c r="Y58" i="5" s="1"/>
  <c r="Z58" i="5" s="1"/>
  <c r="O40" i="5"/>
  <c r="Y40" i="5" s="1"/>
  <c r="Z40" i="5" s="1"/>
  <c r="O34" i="5"/>
  <c r="Y34" i="5" s="1"/>
  <c r="Z34" i="5" s="1"/>
  <c r="O18" i="5"/>
  <c r="Y18" i="5" s="1"/>
  <c r="Z18" i="5" s="1"/>
  <c r="O29" i="5"/>
  <c r="Y29" i="5" s="1"/>
  <c r="Z29" i="5" s="1"/>
  <c r="O88" i="5"/>
  <c r="Y88" i="5" s="1"/>
  <c r="Z88" i="5" s="1"/>
  <c r="O68" i="5"/>
  <c r="Y68" i="5" s="1"/>
  <c r="Z68" i="5" s="1"/>
  <c r="O191" i="5"/>
  <c r="Y191" i="5" s="1"/>
  <c r="Z191" i="5" s="1"/>
  <c r="O158" i="5"/>
  <c r="Y158" i="5" s="1"/>
  <c r="Z158" i="5" s="1"/>
  <c r="O180" i="5"/>
  <c r="Y180" i="5" s="1"/>
  <c r="Z180" i="5" s="1"/>
  <c r="O185" i="5"/>
  <c r="Y185" i="5" s="1"/>
  <c r="Z185" i="5" s="1"/>
  <c r="O166" i="5"/>
  <c r="Y166" i="5" s="1"/>
  <c r="Z166" i="5" s="1"/>
  <c r="O161" i="5"/>
  <c r="Y161" i="5" s="1"/>
  <c r="Z161" i="5" s="1"/>
  <c r="O134" i="5"/>
  <c r="Y134" i="5" s="1"/>
  <c r="Z134" i="5" s="1"/>
  <c r="O130" i="5"/>
  <c r="Y130" i="5" s="1"/>
  <c r="Z130" i="5" s="1"/>
  <c r="O143" i="5"/>
  <c r="Y143" i="5" s="1"/>
  <c r="Z143" i="5" s="1"/>
  <c r="O156" i="5"/>
  <c r="Y156" i="5" s="1"/>
  <c r="Z156" i="5" s="1"/>
  <c r="O138" i="5"/>
  <c r="Y138" i="5" s="1"/>
  <c r="O137" i="5"/>
  <c r="Y137" i="5" s="1"/>
  <c r="Z137" i="5" s="1"/>
  <c r="O116" i="5"/>
  <c r="Y116" i="5" s="1"/>
  <c r="Z116" i="5" s="1"/>
  <c r="O93" i="5"/>
  <c r="Y93" i="5" s="1"/>
  <c r="Z93" i="5" s="1"/>
  <c r="O91" i="5"/>
  <c r="Y91" i="5" s="1"/>
  <c r="Z91" i="5" s="1"/>
  <c r="O55" i="5"/>
  <c r="Y55" i="5" s="1"/>
  <c r="Z55" i="5" s="1"/>
  <c r="O43" i="5"/>
  <c r="Y43" i="5" s="1"/>
  <c r="Z43" i="5" s="1"/>
  <c r="O52" i="5"/>
  <c r="Y52" i="5" s="1"/>
  <c r="Z52" i="5" s="1"/>
  <c r="O41" i="5"/>
  <c r="Y41" i="5" s="1"/>
  <c r="Z41" i="5" s="1"/>
  <c r="O20" i="5"/>
  <c r="Y20" i="5" s="1"/>
  <c r="Z20" i="5" s="1"/>
  <c r="O10" i="5"/>
  <c r="Y10" i="5" s="1"/>
  <c r="Z10" i="5" s="1"/>
  <c r="O73" i="5"/>
  <c r="Y73" i="5" s="1"/>
  <c r="Z73" i="5" s="1"/>
  <c r="O24" i="5"/>
  <c r="Y24" i="5" s="1"/>
  <c r="Z24" i="5" s="1"/>
  <c r="O190" i="5"/>
  <c r="Y190" i="5" s="1"/>
  <c r="Z190" i="5" s="1"/>
  <c r="O207" i="5"/>
  <c r="Y207" i="5" s="1"/>
  <c r="Z207" i="5" s="1"/>
  <c r="O200" i="5"/>
  <c r="Y200" i="5" s="1"/>
  <c r="Z200" i="5" s="1"/>
  <c r="O193" i="5"/>
  <c r="Y193" i="5" s="1"/>
  <c r="Z193" i="5" s="1"/>
  <c r="O151" i="5"/>
  <c r="Y151" i="5" s="1"/>
  <c r="Z151" i="5" s="1"/>
  <c r="O184" i="5"/>
  <c r="Y184" i="5" s="1"/>
  <c r="Z184" i="5" s="1"/>
  <c r="O163" i="5"/>
  <c r="Y163" i="5" s="1"/>
  <c r="Z163" i="5" s="1"/>
  <c r="O172" i="5"/>
  <c r="Y172" i="5" s="1"/>
  <c r="Z172" i="5" s="1"/>
  <c r="O153" i="5"/>
  <c r="Y153" i="5" s="1"/>
  <c r="Z153" i="5" s="1"/>
  <c r="O118" i="5"/>
  <c r="Y118" i="5" s="1"/>
  <c r="Z118" i="5" s="1"/>
  <c r="O124" i="5"/>
  <c r="Y124" i="5" s="1"/>
  <c r="Z124" i="5" s="1"/>
  <c r="O136" i="5"/>
  <c r="Y136" i="5" s="1"/>
  <c r="Z136" i="5" s="1"/>
  <c r="O113" i="5"/>
  <c r="Y113" i="5" s="1"/>
  <c r="Z113" i="5" s="1"/>
  <c r="O99" i="5"/>
  <c r="Y99" i="5" s="1"/>
  <c r="Z99" i="5" s="1"/>
  <c r="O87" i="5"/>
  <c r="Y87" i="5" s="1"/>
  <c r="Z87" i="5" s="1"/>
  <c r="O86" i="5"/>
  <c r="Y86" i="5" s="1"/>
  <c r="Z86" i="5" s="1"/>
  <c r="O71" i="5"/>
  <c r="Y71" i="5" s="1"/>
  <c r="Z71" i="5" s="1"/>
  <c r="O78" i="5"/>
  <c r="Y78" i="5" s="1"/>
  <c r="Z78" i="5" s="1"/>
  <c r="O70" i="5"/>
  <c r="Y70" i="5" s="1"/>
  <c r="Z70" i="5" s="1"/>
  <c r="O69" i="5"/>
  <c r="Y69" i="5" s="1"/>
  <c r="Z69" i="5" s="1"/>
  <c r="O37" i="5"/>
  <c r="Y37" i="5" s="1"/>
  <c r="Z37" i="5" s="1"/>
  <c r="O16" i="5"/>
  <c r="Y16" i="5" s="1"/>
  <c r="Z16" i="5" s="1"/>
  <c r="O12" i="5"/>
  <c r="Y12" i="5" s="1"/>
  <c r="Z12" i="5" s="1"/>
  <c r="O8" i="5"/>
  <c r="Y8" i="5" s="1"/>
  <c r="Z8" i="5" s="1"/>
  <c r="O9" i="5"/>
  <c r="Y9" i="5" s="1"/>
  <c r="Z9" i="5" s="1"/>
  <c r="O46" i="5"/>
  <c r="O162" i="5"/>
  <c r="Y162" i="5" s="1"/>
  <c r="Z162" i="5" s="1"/>
  <c r="O141" i="5"/>
  <c r="Y141" i="5" s="1"/>
  <c r="Z141" i="5" s="1"/>
  <c r="O119" i="5"/>
  <c r="Y119" i="5" s="1"/>
  <c r="Z119" i="5" s="1"/>
  <c r="O82" i="5"/>
  <c r="Y82" i="5" s="1"/>
  <c r="Z82" i="5" s="1"/>
  <c r="O59" i="5"/>
  <c r="Y59" i="5" s="1"/>
  <c r="Z59" i="5" s="1"/>
  <c r="O159" i="5"/>
  <c r="Y159" i="5" s="1"/>
  <c r="Z159" i="5" s="1"/>
  <c r="O155" i="5"/>
  <c r="Y155" i="5" s="1"/>
  <c r="Z155" i="5" s="1"/>
  <c r="O142" i="5"/>
  <c r="Y142" i="5" s="1"/>
  <c r="Z142" i="5" s="1"/>
  <c r="O122" i="5"/>
  <c r="Y122" i="5" s="1"/>
  <c r="Z122" i="5" s="1"/>
  <c r="O102" i="5"/>
  <c r="Y102" i="5" s="1"/>
  <c r="Z102" i="5" s="1"/>
  <c r="O103" i="5"/>
  <c r="Y103" i="5" s="1"/>
  <c r="Z103" i="5" s="1"/>
  <c r="O79" i="5"/>
  <c r="Y79" i="5" s="1"/>
  <c r="Z79" i="5" s="1"/>
  <c r="O53" i="5"/>
  <c r="Y53" i="5" s="1"/>
  <c r="Z53" i="5" s="1"/>
  <c r="O51" i="5"/>
  <c r="Y51" i="5" s="1"/>
  <c r="Z51" i="5" s="1"/>
  <c r="O60" i="5"/>
  <c r="Y60" i="5" s="1"/>
  <c r="Z60" i="5" s="1"/>
  <c r="O39" i="5"/>
  <c r="Y39" i="5" s="1"/>
  <c r="Z39" i="5" s="1"/>
  <c r="O28" i="5"/>
  <c r="Y28" i="5" s="1"/>
  <c r="Z28" i="5" s="1"/>
  <c r="O62" i="5"/>
  <c r="Y62" i="5" s="1"/>
  <c r="Z62" i="5" s="1"/>
  <c r="O61" i="5"/>
  <c r="Y61" i="5" s="1"/>
  <c r="Z61" i="5" s="1"/>
  <c r="O26" i="5"/>
  <c r="Y26" i="5" s="1"/>
  <c r="Z26" i="5" s="1"/>
  <c r="O67" i="5"/>
  <c r="Y67" i="5" s="1"/>
  <c r="Z67" i="5" s="1"/>
  <c r="Y3" i="5"/>
  <c r="Z3" i="5" s="1"/>
  <c r="O206" i="5"/>
  <c r="Y206" i="5" s="1"/>
  <c r="Z206" i="5" s="1"/>
  <c r="O173" i="5"/>
  <c r="Y173" i="5" s="1"/>
  <c r="Z173" i="5" s="1"/>
  <c r="O165" i="5"/>
  <c r="Y165" i="5" s="1"/>
  <c r="Z165" i="5" s="1"/>
  <c r="O129" i="5"/>
  <c r="Y129" i="5" s="1"/>
  <c r="Z129" i="5" s="1"/>
  <c r="O128" i="5"/>
  <c r="Y128" i="5" s="1"/>
  <c r="Z128" i="5" s="1"/>
  <c r="O114" i="5"/>
  <c r="Y114" i="5" s="1"/>
  <c r="Z114" i="5" s="1"/>
  <c r="O107" i="5"/>
  <c r="Y107" i="5" s="1"/>
  <c r="Z107" i="5" s="1"/>
  <c r="O77" i="5"/>
  <c r="Y77" i="5" s="1"/>
  <c r="Z77" i="5" s="1"/>
  <c r="O44" i="5"/>
  <c r="Y44" i="5" s="1"/>
  <c r="Z44" i="5" s="1"/>
  <c r="O25" i="5"/>
  <c r="Y25" i="5" s="1"/>
  <c r="Z25" i="5" s="1"/>
  <c r="O140" i="5"/>
  <c r="Y140" i="5" s="1"/>
  <c r="Z140" i="5" s="1"/>
  <c r="O179" i="5"/>
  <c r="Y179" i="5" s="1"/>
  <c r="Z179" i="5" s="1"/>
  <c r="O154" i="5"/>
  <c r="Y154" i="5" s="1"/>
  <c r="Z154" i="5" s="1"/>
  <c r="O174" i="5"/>
  <c r="Y174" i="5" s="1"/>
  <c r="Z174" i="5" s="1"/>
  <c r="O144" i="5"/>
  <c r="Y144" i="5" s="1"/>
  <c r="Z144" i="5" s="1"/>
  <c r="O123" i="5"/>
  <c r="Y123" i="5" s="1"/>
  <c r="Z123" i="5" s="1"/>
  <c r="O97" i="5"/>
  <c r="Y97" i="5" s="1"/>
  <c r="Z97" i="5" s="1"/>
  <c r="O57" i="5"/>
  <c r="Y57" i="5" s="1"/>
  <c r="Z57" i="5" s="1"/>
  <c r="O209" i="5"/>
  <c r="Y209" i="5" s="1"/>
  <c r="Z209" i="5" s="1"/>
  <c r="O198" i="5"/>
  <c r="Y198" i="5" s="1"/>
  <c r="Z198" i="5" s="1"/>
  <c r="O127" i="5"/>
  <c r="Y127" i="5" s="1"/>
  <c r="Z127" i="5" s="1"/>
  <c r="O210" i="5"/>
  <c r="Y210" i="5" s="1"/>
  <c r="Z210" i="5" s="1"/>
  <c r="O56" i="5"/>
  <c r="Y56" i="5" s="1"/>
  <c r="Z56" i="5" s="1"/>
  <c r="O202" i="5"/>
  <c r="Y202" i="5" s="1"/>
  <c r="Z202" i="5" s="1"/>
  <c r="O47" i="5"/>
  <c r="Y47" i="5" s="1"/>
  <c r="Z47" i="5" s="1"/>
  <c r="O49" i="5"/>
  <c r="Y49" i="5" s="1"/>
  <c r="Z49" i="5" s="1"/>
  <c r="O45" i="5"/>
  <c r="Y45" i="5" s="1"/>
  <c r="Z45" i="5" s="1"/>
  <c r="O48" i="5"/>
  <c r="Y48" i="5" s="1"/>
  <c r="Z48" i="5" s="1"/>
  <c r="O183" i="5"/>
  <c r="Y183" i="5" s="1"/>
  <c r="Z183" i="5" s="1"/>
  <c r="O171" i="5"/>
  <c r="Y171" i="5" s="1"/>
  <c r="Z171" i="5" s="1"/>
  <c r="O208" i="5"/>
  <c r="Y208" i="5" s="1"/>
  <c r="Z208" i="5" s="1"/>
  <c r="O65" i="5"/>
  <c r="Y65" i="5" s="1"/>
  <c r="Z65" i="5" s="1"/>
  <c r="O194" i="5"/>
  <c r="Y194" i="5" s="1"/>
  <c r="Z194" i="5" s="1"/>
  <c r="O7" i="5"/>
  <c r="Y7" i="5" s="1"/>
  <c r="Z7" i="5" s="1"/>
  <c r="O84" i="5"/>
  <c r="Y84" i="5" s="1"/>
  <c r="Z84" i="5" s="1"/>
  <c r="O149" i="5"/>
  <c r="Y149" i="5" s="1"/>
  <c r="Z149" i="5" s="1"/>
  <c r="O6" i="5"/>
  <c r="Y6" i="5" s="1"/>
  <c r="Z6" i="5" s="1"/>
  <c r="O32" i="5"/>
  <c r="Y32" i="5" s="1"/>
  <c r="Z32" i="5" s="1"/>
  <c r="O104" i="5"/>
  <c r="Y104" i="5" s="1"/>
  <c r="Z104" i="5" s="1"/>
  <c r="O177" i="5"/>
  <c r="Y177" i="5" s="1"/>
  <c r="Z177" i="5" s="1"/>
  <c r="O80" i="5"/>
  <c r="Y80" i="5" s="1"/>
  <c r="Z80" i="5" s="1"/>
  <c r="O74" i="5"/>
  <c r="Y74" i="5" s="1"/>
  <c r="Z74" i="5" s="1"/>
  <c r="E7" i="43" l="1"/>
  <c r="AD7" i="43"/>
  <c r="AD15" i="53"/>
  <c r="E15" i="53"/>
  <c r="Y3" i="55"/>
  <c r="O16" i="55"/>
  <c r="Y3" i="45"/>
  <c r="O14" i="45"/>
  <c r="E17" i="44"/>
  <c r="AD17" i="44"/>
  <c r="E14" i="42"/>
  <c r="AD14" i="42"/>
  <c r="AD4" i="53"/>
  <c r="E4" i="53"/>
  <c r="AD6" i="47"/>
  <c r="E6" i="47"/>
  <c r="AD5" i="52"/>
  <c r="E5" i="52"/>
  <c r="AD5" i="50"/>
  <c r="E5" i="50"/>
  <c r="E4" i="46"/>
  <c r="AD4" i="46"/>
  <c r="E6" i="49"/>
  <c r="AD6" i="49"/>
  <c r="E19" i="53"/>
  <c r="AD19" i="53"/>
  <c r="Y3" i="49"/>
  <c r="O23" i="49"/>
  <c r="AD14" i="55"/>
  <c r="E14" i="55"/>
  <c r="E8" i="43"/>
  <c r="AD8" i="43"/>
  <c r="E6" i="52"/>
  <c r="AD6" i="52"/>
  <c r="E17" i="54"/>
  <c r="AD17" i="54"/>
  <c r="AD6" i="51"/>
  <c r="E6" i="51"/>
  <c r="AD13" i="55"/>
  <c r="E13" i="55"/>
  <c r="E5" i="42"/>
  <c r="AD5" i="42"/>
  <c r="AD4" i="43"/>
  <c r="E4" i="43"/>
  <c r="AD6" i="44"/>
  <c r="E6" i="44"/>
  <c r="AD11" i="52"/>
  <c r="E11" i="52"/>
  <c r="AD20" i="49"/>
  <c r="E20" i="49"/>
  <c r="AD14" i="53"/>
  <c r="E14" i="53"/>
  <c r="AD12" i="45"/>
  <c r="E12" i="45"/>
  <c r="E16" i="51"/>
  <c r="AD16" i="51"/>
  <c r="Y3" i="43"/>
  <c r="O15" i="43"/>
  <c r="AD12" i="55"/>
  <c r="E12" i="55"/>
  <c r="E10" i="47"/>
  <c r="AD10" i="47"/>
  <c r="AD15" i="51"/>
  <c r="E15" i="51"/>
  <c r="E23" i="53"/>
  <c r="AD23" i="53"/>
  <c r="AD5" i="55"/>
  <c r="E5" i="55"/>
  <c r="E8" i="49"/>
  <c r="AD8" i="49"/>
  <c r="AD16" i="49"/>
  <c r="E16" i="49"/>
  <c r="E9" i="42"/>
  <c r="AD9" i="42"/>
  <c r="E9" i="53"/>
  <c r="AD9" i="53"/>
  <c r="AD7" i="55"/>
  <c r="E7" i="55"/>
  <c r="E8" i="48"/>
  <c r="AD8" i="48"/>
  <c r="AD14" i="44"/>
  <c r="E14" i="44"/>
  <c r="AD10" i="52"/>
  <c r="E10" i="52"/>
  <c r="AD6" i="50"/>
  <c r="E6" i="50"/>
  <c r="AD13" i="54"/>
  <c r="E13" i="54"/>
  <c r="E11" i="46"/>
  <c r="AD11" i="46"/>
  <c r="AD12" i="51"/>
  <c r="E12" i="51"/>
  <c r="E6" i="46"/>
  <c r="AD6" i="46"/>
  <c r="E10" i="49"/>
  <c r="AD10" i="49"/>
  <c r="AD25" i="53"/>
  <c r="E25" i="53"/>
  <c r="AD11" i="51"/>
  <c r="E11" i="51"/>
  <c r="AD15" i="47"/>
  <c r="E15" i="47"/>
  <c r="AD16" i="47"/>
  <c r="E16" i="47"/>
  <c r="AD7" i="50"/>
  <c r="E7" i="50"/>
  <c r="E13" i="46"/>
  <c r="AD13" i="46"/>
  <c r="AD4" i="51"/>
  <c r="E4" i="51"/>
  <c r="E5" i="46"/>
  <c r="AD5" i="46"/>
  <c r="E13" i="49"/>
  <c r="AD13" i="49"/>
  <c r="AD15" i="54"/>
  <c r="E15" i="54"/>
  <c r="AD9" i="49"/>
  <c r="E9" i="49"/>
  <c r="AD14" i="49"/>
  <c r="E14" i="49"/>
  <c r="AD12" i="48"/>
  <c r="E12" i="48"/>
  <c r="AD7" i="52"/>
  <c r="E7" i="52"/>
  <c r="E10" i="48"/>
  <c r="AD10" i="48"/>
  <c r="E7" i="49"/>
  <c r="AD7" i="49"/>
  <c r="E8" i="55"/>
  <c r="AD8" i="55"/>
  <c r="E11" i="49"/>
  <c r="AD11" i="49"/>
  <c r="E10" i="45"/>
  <c r="AD10" i="45"/>
  <c r="E10" i="54"/>
  <c r="AD10" i="54"/>
  <c r="AD18" i="51"/>
  <c r="E18" i="51"/>
  <c r="AD9" i="54"/>
  <c r="E9" i="54"/>
  <c r="E12" i="50"/>
  <c r="AD12" i="50"/>
  <c r="E4" i="54"/>
  <c r="AD4" i="54"/>
  <c r="AD4" i="47"/>
  <c r="E4" i="47"/>
  <c r="AD13" i="53"/>
  <c r="E13" i="53"/>
  <c r="AD6" i="43"/>
  <c r="E6" i="43"/>
  <c r="AD21" i="53"/>
  <c r="E21" i="53"/>
  <c r="E17" i="53"/>
  <c r="AD17" i="53"/>
  <c r="E11" i="42"/>
  <c r="AD11" i="42"/>
  <c r="Z20" i="53"/>
  <c r="AA20" i="53" s="1"/>
  <c r="AB20" i="53" s="1"/>
  <c r="AD20" i="53" s="1"/>
  <c r="E20" i="53"/>
  <c r="AD10" i="50"/>
  <c r="E10" i="50"/>
  <c r="AD19" i="52"/>
  <c r="E19" i="52"/>
  <c r="Y3" i="51"/>
  <c r="O21" i="51"/>
  <c r="AD19" i="47"/>
  <c r="E19" i="47"/>
  <c r="E7" i="53"/>
  <c r="AD7" i="53"/>
  <c r="Y3" i="54"/>
  <c r="O20" i="54"/>
  <c r="E15" i="44"/>
  <c r="AD15" i="44"/>
  <c r="AD6" i="48"/>
  <c r="E6" i="48"/>
  <c r="Y3" i="42"/>
  <c r="O18" i="42"/>
  <c r="E12" i="47"/>
  <c r="AD12" i="47"/>
  <c r="AD9" i="45"/>
  <c r="E9" i="45"/>
  <c r="AD18" i="49"/>
  <c r="E18" i="49"/>
  <c r="E5" i="48"/>
  <c r="AD5" i="48"/>
  <c r="E12" i="42"/>
  <c r="AD12" i="42"/>
  <c r="AD10" i="53"/>
  <c r="E10" i="53"/>
  <c r="E17" i="49"/>
  <c r="AD17" i="49"/>
  <c r="E22" i="53"/>
  <c r="AD22" i="53"/>
  <c r="AD8" i="47"/>
  <c r="E8" i="47"/>
  <c r="AD15" i="49"/>
  <c r="E15" i="49"/>
  <c r="AD16" i="53"/>
  <c r="E16" i="53"/>
  <c r="AD13" i="47"/>
  <c r="E13" i="47"/>
  <c r="E26" i="53"/>
  <c r="AD26" i="53"/>
  <c r="AD5" i="47"/>
  <c r="E5" i="47"/>
  <c r="E14" i="47"/>
  <c r="AD14" i="47"/>
  <c r="AD6" i="53"/>
  <c r="E6" i="53"/>
  <c r="E13" i="48"/>
  <c r="AD13" i="48"/>
  <c r="AD4" i="42"/>
  <c r="E4" i="42"/>
  <c r="E5" i="44"/>
  <c r="AD5" i="44"/>
  <c r="E11" i="53"/>
  <c r="AD11" i="53"/>
  <c r="AD17" i="47"/>
  <c r="E17" i="47"/>
  <c r="AD7" i="54"/>
  <c r="E7" i="54"/>
  <c r="AD5" i="45"/>
  <c r="E5" i="45"/>
  <c r="AD12" i="52"/>
  <c r="E12" i="52"/>
  <c r="E14" i="46"/>
  <c r="AD14" i="46"/>
  <c r="Y3" i="53"/>
  <c r="O29" i="53"/>
  <c r="AD6" i="45"/>
  <c r="E6" i="45"/>
  <c r="AD27" i="53"/>
  <c r="E27" i="53"/>
  <c r="AD5" i="54"/>
  <c r="E5" i="54"/>
  <c r="AD18" i="53"/>
  <c r="E18" i="53"/>
  <c r="AD11" i="43"/>
  <c r="E11" i="43"/>
  <c r="AD13" i="42"/>
  <c r="E13" i="42"/>
  <c r="AD7" i="45"/>
  <c r="E7" i="45"/>
  <c r="AD6" i="55"/>
  <c r="E6" i="55"/>
  <c r="Y3" i="50"/>
  <c r="O15" i="50"/>
  <c r="E11" i="50"/>
  <c r="AD11" i="50"/>
  <c r="AD12" i="43"/>
  <c r="E12" i="43"/>
  <c r="AD13" i="52"/>
  <c r="E13" i="52"/>
  <c r="E6" i="54"/>
  <c r="AD6" i="54"/>
  <c r="Y3" i="46"/>
  <c r="O16" i="46"/>
  <c r="AD11" i="55"/>
  <c r="E11" i="55"/>
  <c r="AD5" i="43"/>
  <c r="E5" i="43"/>
  <c r="AD13" i="43"/>
  <c r="E13" i="43"/>
  <c r="AD13" i="44"/>
  <c r="E13" i="44"/>
  <c r="AD5" i="53"/>
  <c r="E5" i="53"/>
  <c r="E13" i="51"/>
  <c r="AD13" i="51"/>
  <c r="AD16" i="42"/>
  <c r="E16" i="42"/>
  <c r="AD9" i="52"/>
  <c r="E9" i="52"/>
  <c r="AD5" i="49"/>
  <c r="E5" i="49"/>
  <c r="E10" i="44"/>
  <c r="AD10" i="44"/>
  <c r="AD9" i="43"/>
  <c r="E9" i="43"/>
  <c r="AD17" i="52"/>
  <c r="E17" i="52"/>
  <c r="E7" i="44"/>
  <c r="AD7" i="44"/>
  <c r="E8" i="53"/>
  <c r="AD8" i="53"/>
  <c r="AD9" i="55"/>
  <c r="E9" i="55"/>
  <c r="AD17" i="51"/>
  <c r="E17" i="51"/>
  <c r="AD4" i="44"/>
  <c r="E4" i="44"/>
  <c r="AD8" i="46"/>
  <c r="E8" i="46"/>
  <c r="E7" i="47"/>
  <c r="AD7" i="47"/>
  <c r="E7" i="48"/>
  <c r="AD7" i="48"/>
  <c r="AD18" i="47"/>
  <c r="E18" i="47"/>
  <c r="E19" i="49"/>
  <c r="AD19" i="49"/>
  <c r="AD6" i="42"/>
  <c r="E6" i="42"/>
  <c r="E14" i="52"/>
  <c r="AD14" i="52"/>
  <c r="AD7" i="51"/>
  <c r="E7" i="51"/>
  <c r="AD8" i="54"/>
  <c r="E8" i="54"/>
  <c r="AD9" i="50"/>
  <c r="E9" i="50"/>
  <c r="AD8" i="42"/>
  <c r="E8" i="42"/>
  <c r="E7" i="46"/>
  <c r="AD7" i="46"/>
  <c r="E19" i="51"/>
  <c r="AD19" i="51"/>
  <c r="E8" i="45"/>
  <c r="AD8" i="45"/>
  <c r="E10" i="42"/>
  <c r="AD10" i="42"/>
  <c r="E10" i="55"/>
  <c r="AD10" i="55"/>
  <c r="E4" i="49"/>
  <c r="AD4" i="49"/>
  <c r="E7" i="42"/>
  <c r="AD7" i="42"/>
  <c r="AD16" i="44"/>
  <c r="E16" i="44"/>
  <c r="AD8" i="52"/>
  <c r="E8" i="52"/>
  <c r="Y3" i="48"/>
  <c r="O15" i="48"/>
  <c r="AD9" i="44"/>
  <c r="E9" i="44"/>
  <c r="E18" i="52"/>
  <c r="AD18" i="52"/>
  <c r="E9" i="47"/>
  <c r="AD9" i="47"/>
  <c r="AD18" i="54"/>
  <c r="E18" i="54"/>
  <c r="E4" i="48"/>
  <c r="AD4" i="48"/>
  <c r="Y3" i="52"/>
  <c r="O21" i="52"/>
  <c r="E4" i="45"/>
  <c r="AD4" i="45"/>
  <c r="AD8" i="50"/>
  <c r="E8" i="50"/>
  <c r="AD16" i="54"/>
  <c r="E16" i="54"/>
  <c r="E8" i="51"/>
  <c r="AD8" i="51"/>
  <c r="AD12" i="44"/>
  <c r="E12" i="44"/>
  <c r="AD11" i="44"/>
  <c r="E11" i="44"/>
  <c r="AD5" i="51"/>
  <c r="E5" i="51"/>
  <c r="AD14" i="54"/>
  <c r="E14" i="54"/>
  <c r="AD4" i="52"/>
  <c r="E4" i="52"/>
  <c r="E10" i="46"/>
  <c r="AD10" i="46"/>
  <c r="AD8" i="44"/>
  <c r="E8" i="44"/>
  <c r="E12" i="53"/>
  <c r="AD12" i="53"/>
  <c r="E24" i="53"/>
  <c r="AD24" i="53"/>
  <c r="AD4" i="55"/>
  <c r="E4" i="55"/>
  <c r="E11" i="45"/>
  <c r="AD11" i="45"/>
  <c r="E9" i="51"/>
  <c r="AD9" i="51"/>
  <c r="E9" i="46"/>
  <c r="AD9" i="46"/>
  <c r="E15" i="42"/>
  <c r="AD15" i="42"/>
  <c r="AD12" i="54"/>
  <c r="E12" i="54"/>
  <c r="AD9" i="48"/>
  <c r="E9" i="48"/>
  <c r="E12" i="46"/>
  <c r="AD12" i="46"/>
  <c r="E10" i="43"/>
  <c r="AD10" i="43"/>
  <c r="E16" i="52"/>
  <c r="AD16" i="52"/>
  <c r="E14" i="51"/>
  <c r="AD14" i="51"/>
  <c r="E11" i="47"/>
  <c r="AD11" i="47"/>
  <c r="E4" i="50"/>
  <c r="AD4" i="50"/>
  <c r="AD13" i="50"/>
  <c r="E13" i="50"/>
  <c r="O18" i="44"/>
  <c r="Y3" i="44"/>
  <c r="Y3" i="47"/>
  <c r="O21" i="47"/>
  <c r="E15" i="52"/>
  <c r="AD15" i="52"/>
  <c r="AD21" i="49"/>
  <c r="E21" i="49"/>
  <c r="AD10" i="51"/>
  <c r="E10" i="51"/>
  <c r="E11" i="54"/>
  <c r="AD11" i="54"/>
  <c r="AD12" i="49"/>
  <c r="E12" i="49"/>
  <c r="AD11" i="48"/>
  <c r="E11" i="48"/>
  <c r="AA32" i="5"/>
  <c r="AA140" i="5"/>
  <c r="AA7" i="5"/>
  <c r="AA49" i="5"/>
  <c r="AA57" i="5"/>
  <c r="AA25" i="5"/>
  <c r="AA173" i="5"/>
  <c r="AA39" i="5"/>
  <c r="AA142" i="5"/>
  <c r="Y46" i="5"/>
  <c r="O212" i="5"/>
  <c r="AA78" i="5"/>
  <c r="AA118" i="5"/>
  <c r="AA207" i="5"/>
  <c r="AA43" i="5"/>
  <c r="AA143" i="5"/>
  <c r="AA191" i="5"/>
  <c r="AA50" i="5"/>
  <c r="AA178" i="5"/>
  <c r="AA112" i="5"/>
  <c r="AA205" i="5"/>
  <c r="AA30" i="5"/>
  <c r="AA98" i="5"/>
  <c r="AA204" i="5"/>
  <c r="AA170" i="5"/>
  <c r="AA133" i="5"/>
  <c r="AA89" i="5"/>
  <c r="AA23" i="5"/>
  <c r="AA114" i="5"/>
  <c r="AA154" i="5"/>
  <c r="AA37" i="5"/>
  <c r="AA209" i="5"/>
  <c r="AA80" i="5"/>
  <c r="AA47" i="5"/>
  <c r="AA97" i="5"/>
  <c r="AA44" i="5"/>
  <c r="AA206" i="5"/>
  <c r="AA60" i="5"/>
  <c r="AA155" i="5"/>
  <c r="AA9" i="5"/>
  <c r="AA71" i="5"/>
  <c r="AA153" i="5"/>
  <c r="AA190" i="5"/>
  <c r="AA55" i="5"/>
  <c r="AA130" i="5"/>
  <c r="AA68" i="5"/>
  <c r="AA94" i="5"/>
  <c r="AA167" i="5"/>
  <c r="AA146" i="5"/>
  <c r="AA42" i="5"/>
  <c r="AA126" i="5"/>
  <c r="AA199" i="5"/>
  <c r="AA164" i="5"/>
  <c r="AA131" i="5"/>
  <c r="AA76" i="5"/>
  <c r="AA5" i="5"/>
  <c r="AA26" i="5"/>
  <c r="AA127" i="5"/>
  <c r="AA119" i="5"/>
  <c r="AA84" i="5"/>
  <c r="AA74" i="5"/>
  <c r="AA194" i="5"/>
  <c r="AA177" i="5"/>
  <c r="AA65" i="5"/>
  <c r="AA202" i="5"/>
  <c r="AA123" i="5"/>
  <c r="AA77" i="5"/>
  <c r="AA3" i="5"/>
  <c r="AA51" i="5"/>
  <c r="AA159" i="5"/>
  <c r="AA8" i="5"/>
  <c r="AA86" i="5"/>
  <c r="AA172" i="5"/>
  <c r="AA24" i="5"/>
  <c r="AA91" i="5"/>
  <c r="AA134" i="5"/>
  <c r="AA88" i="5"/>
  <c r="AA81" i="5"/>
  <c r="AA168" i="5"/>
  <c r="AA108" i="5"/>
  <c r="AA72" i="5"/>
  <c r="AA35" i="5"/>
  <c r="AA150" i="5"/>
  <c r="AA186" i="5"/>
  <c r="AA157" i="5"/>
  <c r="AA120" i="5"/>
  <c r="AA54" i="5"/>
  <c r="AA22" i="5"/>
  <c r="AA210" i="5"/>
  <c r="AA104" i="5"/>
  <c r="AA208" i="5"/>
  <c r="AA56" i="5"/>
  <c r="AA144" i="5"/>
  <c r="AA107" i="5"/>
  <c r="AA67" i="5"/>
  <c r="AA53" i="5"/>
  <c r="AA59" i="5"/>
  <c r="AA12" i="5"/>
  <c r="AA87" i="5"/>
  <c r="AA163" i="5"/>
  <c r="AA73" i="5"/>
  <c r="AA93" i="5"/>
  <c r="AA161" i="5"/>
  <c r="AA29" i="5"/>
  <c r="AA105" i="5"/>
  <c r="AA196" i="5"/>
  <c r="AA135" i="5"/>
  <c r="AA85" i="5"/>
  <c r="AA64" i="5"/>
  <c r="AA121" i="5"/>
  <c r="AA197" i="5"/>
  <c r="AA148" i="5"/>
  <c r="AA111" i="5"/>
  <c r="AA63" i="5"/>
  <c r="AA11" i="5"/>
  <c r="AA79" i="5"/>
  <c r="AA82" i="5"/>
  <c r="AA16" i="5"/>
  <c r="AA99" i="5"/>
  <c r="AA184" i="5"/>
  <c r="AA10" i="5"/>
  <c r="AA116" i="5"/>
  <c r="AA166" i="5"/>
  <c r="AA18" i="5"/>
  <c r="AA106" i="5"/>
  <c r="AA187" i="5"/>
  <c r="AA181" i="5"/>
  <c r="AA75" i="5"/>
  <c r="AA66" i="5"/>
  <c r="AA145" i="5"/>
  <c r="AA203" i="5"/>
  <c r="AA110" i="5"/>
  <c r="AA100" i="5"/>
  <c r="AA38" i="5"/>
  <c r="AA17" i="5"/>
  <c r="AA6" i="5"/>
  <c r="AA103" i="5"/>
  <c r="AA113" i="5"/>
  <c r="AA151" i="5"/>
  <c r="AA20" i="5"/>
  <c r="AA137" i="5"/>
  <c r="AA185" i="5"/>
  <c r="AA34" i="5"/>
  <c r="AA147" i="5"/>
  <c r="AA195" i="5"/>
  <c r="AA169" i="5"/>
  <c r="AA132" i="5"/>
  <c r="AA83" i="5"/>
  <c r="AA152" i="5"/>
  <c r="AA188" i="5"/>
  <c r="AA117" i="5"/>
  <c r="AA101" i="5"/>
  <c r="AA27" i="5"/>
  <c r="AA14" i="5"/>
  <c r="AA171" i="5"/>
  <c r="AA128" i="5"/>
  <c r="AA149" i="5"/>
  <c r="AA48" i="5"/>
  <c r="AA198" i="5"/>
  <c r="AA179" i="5"/>
  <c r="AA129" i="5"/>
  <c r="AA62" i="5"/>
  <c r="AA102" i="5"/>
  <c r="AA141" i="5"/>
  <c r="AA69" i="5"/>
  <c r="AA136" i="5"/>
  <c r="AA193" i="5"/>
  <c r="AA41" i="5"/>
  <c r="Z138" i="5"/>
  <c r="E138" i="5"/>
  <c r="AA180" i="5"/>
  <c r="AA40" i="5"/>
  <c r="AA125" i="5"/>
  <c r="AA192" i="5"/>
  <c r="AA189" i="5"/>
  <c r="AA21" i="5"/>
  <c r="AA92" i="5"/>
  <c r="AA175" i="5"/>
  <c r="AA160" i="5"/>
  <c r="AA109" i="5"/>
  <c r="AA96" i="5"/>
  <c r="AA31" i="5"/>
  <c r="AA13" i="5"/>
  <c r="AA174" i="5"/>
  <c r="AA183" i="5"/>
  <c r="AA61" i="5"/>
  <c r="AA45" i="5"/>
  <c r="AA165" i="5"/>
  <c r="AA28" i="5"/>
  <c r="AA122" i="5"/>
  <c r="AA162" i="5"/>
  <c r="AA70" i="5"/>
  <c r="AA124" i="5"/>
  <c r="AA200" i="5"/>
  <c r="AA52" i="5"/>
  <c r="AA156" i="5"/>
  <c r="AA158" i="5"/>
  <c r="AA58" i="5"/>
  <c r="AA139" i="5"/>
  <c r="AA33" i="5"/>
  <c r="AA201" i="5"/>
  <c r="AA15" i="5"/>
  <c r="AA115" i="5"/>
  <c r="AA182" i="5"/>
  <c r="AA176" i="5"/>
  <c r="AA95" i="5"/>
  <c r="AA90" i="5"/>
  <c r="AA36" i="5"/>
  <c r="AA4" i="5"/>
  <c r="Z3" i="44" l="1"/>
  <c r="Y18" i="44"/>
  <c r="Z3" i="52"/>
  <c r="Y21" i="52"/>
  <c r="Z3" i="46"/>
  <c r="Y16" i="46"/>
  <c r="Z3" i="42"/>
  <c r="Y18" i="42"/>
  <c r="Z3" i="45"/>
  <c r="Y14" i="45"/>
  <c r="Z3" i="55"/>
  <c r="Y16" i="55"/>
  <c r="Z3" i="50"/>
  <c r="Y15" i="50"/>
  <c r="Z3" i="51"/>
  <c r="Y21" i="51"/>
  <c r="Z3" i="49"/>
  <c r="Y23" i="49"/>
  <c r="Z3" i="48"/>
  <c r="Y15" i="48"/>
  <c r="Z3" i="53"/>
  <c r="Y29" i="53"/>
  <c r="Z3" i="47"/>
  <c r="Y21" i="47"/>
  <c r="Z3" i="54"/>
  <c r="Y20" i="54"/>
  <c r="Z3" i="43"/>
  <c r="Y15" i="43"/>
  <c r="AB189" i="5"/>
  <c r="AB122" i="5"/>
  <c r="AB28" i="5"/>
  <c r="AB92" i="5"/>
  <c r="AB125" i="5"/>
  <c r="AB128" i="5"/>
  <c r="AB83" i="5"/>
  <c r="AB20" i="5"/>
  <c r="AB4" i="5"/>
  <c r="AB176" i="5"/>
  <c r="AB201" i="5"/>
  <c r="AB158" i="5"/>
  <c r="AB183" i="5"/>
  <c r="AB96" i="5"/>
  <c r="AB141" i="5"/>
  <c r="AB179" i="5"/>
  <c r="AB101" i="5"/>
  <c r="AB147" i="5"/>
  <c r="AB110" i="5"/>
  <c r="AB75" i="5"/>
  <c r="AB184" i="5"/>
  <c r="AB85" i="5"/>
  <c r="AB29" i="5"/>
  <c r="AB163" i="5"/>
  <c r="AB53" i="5"/>
  <c r="AB22" i="5"/>
  <c r="AB186" i="5"/>
  <c r="AB108" i="5"/>
  <c r="AB134" i="5"/>
  <c r="AB86" i="5"/>
  <c r="AB3" i="5"/>
  <c r="AB199" i="5"/>
  <c r="AB146" i="5"/>
  <c r="AB130" i="5"/>
  <c r="AB71" i="5"/>
  <c r="AB206" i="5"/>
  <c r="AB80" i="5"/>
  <c r="AB114" i="5"/>
  <c r="AB170" i="5"/>
  <c r="AB205" i="5"/>
  <c r="AB191" i="5"/>
  <c r="AB90" i="5"/>
  <c r="AB31" i="5"/>
  <c r="AB129" i="5"/>
  <c r="AB33" i="5"/>
  <c r="AB165" i="5"/>
  <c r="AB171" i="5"/>
  <c r="AB166" i="5"/>
  <c r="AB99" i="5"/>
  <c r="AB208" i="5"/>
  <c r="AB91" i="5"/>
  <c r="AB8" i="5"/>
  <c r="AB77" i="5"/>
  <c r="AB177" i="5"/>
  <c r="AB76" i="5"/>
  <c r="AB126" i="5"/>
  <c r="AB55" i="5"/>
  <c r="AB209" i="5"/>
  <c r="AB23" i="5"/>
  <c r="AB112" i="5"/>
  <c r="AB78" i="5"/>
  <c r="AB39" i="5"/>
  <c r="AB49" i="5"/>
  <c r="AB36" i="5"/>
  <c r="AB182" i="5"/>
  <c r="AB156" i="5"/>
  <c r="AB70" i="5"/>
  <c r="AB174" i="5"/>
  <c r="AB109" i="5"/>
  <c r="AB21" i="5"/>
  <c r="AB40" i="5"/>
  <c r="AB193" i="5"/>
  <c r="AB102" i="5"/>
  <c r="AB198" i="5"/>
  <c r="AB117" i="5"/>
  <c r="AB132" i="5"/>
  <c r="AB34" i="5"/>
  <c r="AB151" i="5"/>
  <c r="AB17" i="5"/>
  <c r="AB203" i="5"/>
  <c r="AB181" i="5"/>
  <c r="AB11" i="5"/>
  <c r="AB197" i="5"/>
  <c r="AB135" i="5"/>
  <c r="AB161" i="5"/>
  <c r="AB87" i="5"/>
  <c r="AB67" i="5"/>
  <c r="AB54" i="5"/>
  <c r="AB150" i="5"/>
  <c r="AB168" i="5"/>
  <c r="AB119" i="5"/>
  <c r="AB167" i="5"/>
  <c r="AB9" i="5"/>
  <c r="AB44" i="5"/>
  <c r="AB204" i="5"/>
  <c r="AB143" i="5"/>
  <c r="AB7" i="5"/>
  <c r="AB188" i="5"/>
  <c r="AB145" i="5"/>
  <c r="AB63" i="5"/>
  <c r="AB196" i="5"/>
  <c r="AB93" i="5"/>
  <c r="AB12" i="5"/>
  <c r="AB81" i="5"/>
  <c r="AB24" i="5"/>
  <c r="AB123" i="5"/>
  <c r="AB127" i="5"/>
  <c r="AB19" i="5"/>
  <c r="AB94" i="5"/>
  <c r="AB155" i="5"/>
  <c r="AB98" i="5"/>
  <c r="AB178" i="5"/>
  <c r="AB43" i="5"/>
  <c r="AB173" i="5"/>
  <c r="AB115" i="5"/>
  <c r="AB162" i="5"/>
  <c r="AB45" i="5"/>
  <c r="AB13" i="5"/>
  <c r="AB160" i="5"/>
  <c r="AB180" i="5"/>
  <c r="AB136" i="5"/>
  <c r="AB62" i="5"/>
  <c r="AB48" i="5"/>
  <c r="AB14" i="5"/>
  <c r="AB169" i="5"/>
  <c r="AB185" i="5"/>
  <c r="AB113" i="5"/>
  <c r="AB38" i="5"/>
  <c r="AB187" i="5"/>
  <c r="AB116" i="5"/>
  <c r="AB16" i="5"/>
  <c r="AB121" i="5"/>
  <c r="AB107" i="5"/>
  <c r="AB104" i="5"/>
  <c r="AB120" i="5"/>
  <c r="AB35" i="5"/>
  <c r="AB159" i="5"/>
  <c r="AB194" i="5"/>
  <c r="AB131" i="5"/>
  <c r="AB190" i="5"/>
  <c r="AB97" i="5"/>
  <c r="AB37" i="5"/>
  <c r="AB89" i="5"/>
  <c r="AB25" i="5"/>
  <c r="AB27" i="5"/>
  <c r="AB195" i="5"/>
  <c r="AB66" i="5"/>
  <c r="AB106" i="5"/>
  <c r="AB64" i="5"/>
  <c r="AB105" i="5"/>
  <c r="AB210" i="5"/>
  <c r="AB172" i="5"/>
  <c r="AB202" i="5"/>
  <c r="AB42" i="5"/>
  <c r="AB153" i="5"/>
  <c r="AB30" i="5"/>
  <c r="AB50" i="5"/>
  <c r="Z46" i="5"/>
  <c r="Y212" i="5"/>
  <c r="AB140" i="5"/>
  <c r="AB52" i="5"/>
  <c r="AB149" i="5"/>
  <c r="AB152" i="5"/>
  <c r="AB95" i="5"/>
  <c r="AB15" i="5"/>
  <c r="AB58" i="5"/>
  <c r="AB200" i="5"/>
  <c r="AB61" i="5"/>
  <c r="AB175" i="5"/>
  <c r="AB192" i="5"/>
  <c r="AA138" i="5"/>
  <c r="AB69" i="5"/>
  <c r="AB137" i="5"/>
  <c r="AB103" i="5"/>
  <c r="AB100" i="5"/>
  <c r="AB10" i="5"/>
  <c r="AB82" i="5"/>
  <c r="AB111" i="5"/>
  <c r="AB73" i="5"/>
  <c r="AB59" i="5"/>
  <c r="AB144" i="5"/>
  <c r="AB157" i="5"/>
  <c r="AB72" i="5"/>
  <c r="AB88" i="5"/>
  <c r="AB51" i="5"/>
  <c r="AB74" i="5"/>
  <c r="AB26" i="5"/>
  <c r="AB164" i="5"/>
  <c r="AB68" i="5"/>
  <c r="AB60" i="5"/>
  <c r="AB47" i="5"/>
  <c r="AB154" i="5"/>
  <c r="AB133" i="5"/>
  <c r="AB207" i="5"/>
  <c r="AB32" i="5"/>
  <c r="AB139" i="5"/>
  <c r="AB124" i="5"/>
  <c r="AB41" i="5"/>
  <c r="AB6" i="5"/>
  <c r="AB18" i="5"/>
  <c r="AB79" i="5"/>
  <c r="AB148" i="5"/>
  <c r="AB56" i="5"/>
  <c r="AB65" i="5"/>
  <c r="AB84" i="5"/>
  <c r="AB5" i="5"/>
  <c r="AB118" i="5"/>
  <c r="AB142" i="5"/>
  <c r="AB57" i="5"/>
  <c r="AA3" i="47" l="1"/>
  <c r="Z21" i="47"/>
  <c r="AA3" i="51"/>
  <c r="Z21" i="51"/>
  <c r="AA3" i="42"/>
  <c r="Z18" i="42"/>
  <c r="AA3" i="46"/>
  <c r="Z16" i="46"/>
  <c r="AA3" i="43"/>
  <c r="Z15" i="43"/>
  <c r="AA3" i="48"/>
  <c r="Z15" i="48"/>
  <c r="AA3" i="55"/>
  <c r="Z16" i="55"/>
  <c r="AA3" i="52"/>
  <c r="Z21" i="52"/>
  <c r="AA3" i="50"/>
  <c r="Z15" i="50"/>
  <c r="AA3" i="53"/>
  <c r="Z29" i="53"/>
  <c r="AA3" i="54"/>
  <c r="Z20" i="54"/>
  <c r="Z23" i="49"/>
  <c r="AA3" i="49"/>
  <c r="AA3" i="45"/>
  <c r="Z14" i="45"/>
  <c r="AA3" i="44"/>
  <c r="Z18" i="44"/>
  <c r="E10" i="5"/>
  <c r="AD10" i="5"/>
  <c r="E35" i="5"/>
  <c r="AD35" i="5"/>
  <c r="E81" i="5"/>
  <c r="AD81" i="5"/>
  <c r="E36" i="5"/>
  <c r="AD36" i="5"/>
  <c r="E199" i="5"/>
  <c r="AD199" i="5"/>
  <c r="E6" i="5"/>
  <c r="AD6" i="5"/>
  <c r="E210" i="5"/>
  <c r="AD210" i="5"/>
  <c r="E67" i="5"/>
  <c r="AD67" i="5"/>
  <c r="E83" i="5"/>
  <c r="AD83" i="5"/>
  <c r="E60" i="5"/>
  <c r="AD60" i="5"/>
  <c r="E157" i="5"/>
  <c r="AD157" i="5"/>
  <c r="E103" i="5"/>
  <c r="AD103" i="5"/>
  <c r="E58" i="5"/>
  <c r="AD58" i="5"/>
  <c r="E105" i="5"/>
  <c r="AD105" i="5"/>
  <c r="E37" i="5"/>
  <c r="AD37" i="5"/>
  <c r="E104" i="5"/>
  <c r="AD104" i="5"/>
  <c r="E185" i="5"/>
  <c r="AD185" i="5"/>
  <c r="E13" i="5"/>
  <c r="AD13" i="5"/>
  <c r="E155" i="5"/>
  <c r="AD155" i="5"/>
  <c r="E93" i="5"/>
  <c r="AD93" i="5"/>
  <c r="E44" i="5"/>
  <c r="AD44" i="5"/>
  <c r="E87" i="5"/>
  <c r="AD87" i="5"/>
  <c r="E151" i="5"/>
  <c r="AD151" i="5"/>
  <c r="E21" i="5"/>
  <c r="AD21" i="5"/>
  <c r="E39" i="5"/>
  <c r="AD39" i="5"/>
  <c r="E177" i="5"/>
  <c r="AD177" i="5"/>
  <c r="E165" i="5"/>
  <c r="AD165" i="5"/>
  <c r="E114" i="5"/>
  <c r="AD114" i="5"/>
  <c r="E86" i="5"/>
  <c r="AD86" i="5"/>
  <c r="E85" i="5"/>
  <c r="AD85" i="5"/>
  <c r="E96" i="5"/>
  <c r="AD96" i="5"/>
  <c r="E128" i="5"/>
  <c r="AD128" i="5"/>
  <c r="E154" i="5"/>
  <c r="AD154" i="5"/>
  <c r="E172" i="5"/>
  <c r="AD172" i="5"/>
  <c r="E113" i="5"/>
  <c r="AD113" i="5"/>
  <c r="E12" i="5"/>
  <c r="AD12" i="5"/>
  <c r="E76" i="5"/>
  <c r="AD76" i="5"/>
  <c r="E3" i="5"/>
  <c r="AD3" i="5"/>
  <c r="E84" i="5"/>
  <c r="AD84" i="5"/>
  <c r="E68" i="5"/>
  <c r="AD68" i="5"/>
  <c r="E144" i="5"/>
  <c r="AD144" i="5"/>
  <c r="E137" i="5"/>
  <c r="AD137" i="5"/>
  <c r="E15" i="5"/>
  <c r="AD15" i="5"/>
  <c r="E50" i="5"/>
  <c r="AD50" i="5"/>
  <c r="E64" i="5"/>
  <c r="AD64" i="5"/>
  <c r="E97" i="5"/>
  <c r="AD97" i="5"/>
  <c r="E107" i="5"/>
  <c r="AD107" i="5"/>
  <c r="E169" i="5"/>
  <c r="AD169" i="5"/>
  <c r="E45" i="5"/>
  <c r="AD45" i="5"/>
  <c r="E94" i="5"/>
  <c r="AD94" i="5"/>
  <c r="E196" i="5"/>
  <c r="AD196" i="5"/>
  <c r="E9" i="5"/>
  <c r="AD9" i="5"/>
  <c r="E161" i="5"/>
  <c r="AD161" i="5"/>
  <c r="E34" i="5"/>
  <c r="AD34" i="5"/>
  <c r="E109" i="5"/>
  <c r="AD109" i="5"/>
  <c r="E78" i="5"/>
  <c r="AD78" i="5"/>
  <c r="E77" i="5"/>
  <c r="AD77" i="5"/>
  <c r="E33" i="5"/>
  <c r="AD33" i="5"/>
  <c r="E80" i="5"/>
  <c r="AD80" i="5"/>
  <c r="E134" i="5"/>
  <c r="AD134" i="5"/>
  <c r="E184" i="5"/>
  <c r="AD184" i="5"/>
  <c r="E183" i="5"/>
  <c r="AD183" i="5"/>
  <c r="E125" i="5"/>
  <c r="AD125" i="5"/>
  <c r="E18" i="5"/>
  <c r="AD18" i="5"/>
  <c r="E25" i="5"/>
  <c r="AD25" i="5"/>
  <c r="E143" i="5"/>
  <c r="AD143" i="5"/>
  <c r="E126" i="5"/>
  <c r="AD126" i="5"/>
  <c r="E163" i="5"/>
  <c r="AD163" i="5"/>
  <c r="E100" i="5"/>
  <c r="AD100" i="5"/>
  <c r="E160" i="5"/>
  <c r="AD160" i="5"/>
  <c r="E49" i="5"/>
  <c r="AD49" i="5"/>
  <c r="E141" i="5"/>
  <c r="AD141" i="5"/>
  <c r="E59" i="5"/>
  <c r="AD59" i="5"/>
  <c r="E95" i="5"/>
  <c r="AD95" i="5"/>
  <c r="E30" i="5"/>
  <c r="AD30" i="5"/>
  <c r="E106" i="5"/>
  <c r="AD106" i="5"/>
  <c r="E190" i="5"/>
  <c r="AD190" i="5"/>
  <c r="E121" i="5"/>
  <c r="AD121" i="5"/>
  <c r="E14" i="5"/>
  <c r="AD14" i="5"/>
  <c r="E162" i="5"/>
  <c r="AD162" i="5"/>
  <c r="E19" i="5"/>
  <c r="AD19" i="5"/>
  <c r="E63" i="5"/>
  <c r="AD63" i="5"/>
  <c r="E167" i="5"/>
  <c r="AD167" i="5"/>
  <c r="E135" i="5"/>
  <c r="AD135" i="5"/>
  <c r="E132" i="5"/>
  <c r="AD132" i="5"/>
  <c r="E174" i="5"/>
  <c r="AD174" i="5"/>
  <c r="E112" i="5"/>
  <c r="AD112" i="5"/>
  <c r="E8" i="5"/>
  <c r="AD8" i="5"/>
  <c r="E129" i="5"/>
  <c r="AD129" i="5"/>
  <c r="E206" i="5"/>
  <c r="AD206" i="5"/>
  <c r="E108" i="5"/>
  <c r="AD108" i="5"/>
  <c r="E75" i="5"/>
  <c r="AD75" i="5"/>
  <c r="E158" i="5"/>
  <c r="AD158" i="5"/>
  <c r="E92" i="5"/>
  <c r="AD92" i="5"/>
  <c r="E88" i="5"/>
  <c r="AD88" i="5"/>
  <c r="E38" i="5"/>
  <c r="AD38" i="5"/>
  <c r="E54" i="5"/>
  <c r="AD54" i="5"/>
  <c r="E166" i="5"/>
  <c r="AD166" i="5"/>
  <c r="E205" i="5"/>
  <c r="AD205" i="5"/>
  <c r="E118" i="5"/>
  <c r="AD118" i="5"/>
  <c r="E200" i="5"/>
  <c r="AD200" i="5"/>
  <c r="E98" i="5"/>
  <c r="AD98" i="5"/>
  <c r="E40" i="5"/>
  <c r="AD40" i="5"/>
  <c r="E29" i="5"/>
  <c r="AD29" i="5"/>
  <c r="E124" i="5"/>
  <c r="AD124" i="5"/>
  <c r="E164" i="5"/>
  <c r="AD164" i="5"/>
  <c r="E32" i="5"/>
  <c r="AD32" i="5"/>
  <c r="E26" i="5"/>
  <c r="AD26" i="5"/>
  <c r="E73" i="5"/>
  <c r="AD73" i="5"/>
  <c r="E152" i="5"/>
  <c r="AD152" i="5"/>
  <c r="E153" i="5"/>
  <c r="AD153" i="5"/>
  <c r="E66" i="5"/>
  <c r="AD66" i="5"/>
  <c r="E131" i="5"/>
  <c r="AD131" i="5"/>
  <c r="E16" i="5"/>
  <c r="AD16" i="5"/>
  <c r="E48" i="5"/>
  <c r="AD48" i="5"/>
  <c r="E115" i="5"/>
  <c r="AD115" i="5"/>
  <c r="E127" i="5"/>
  <c r="AD127" i="5"/>
  <c r="E145" i="5"/>
  <c r="AD145" i="5"/>
  <c r="E119" i="5"/>
  <c r="AD119" i="5"/>
  <c r="E197" i="5"/>
  <c r="AD197" i="5"/>
  <c r="E117" i="5"/>
  <c r="AD117" i="5"/>
  <c r="E70" i="5"/>
  <c r="AD70" i="5"/>
  <c r="E23" i="5"/>
  <c r="AD23" i="5"/>
  <c r="E91" i="5"/>
  <c r="AD91" i="5"/>
  <c r="E31" i="5"/>
  <c r="AD31" i="5"/>
  <c r="E71" i="5"/>
  <c r="AD71" i="5"/>
  <c r="E186" i="5"/>
  <c r="AD186" i="5"/>
  <c r="E110" i="5"/>
  <c r="AD110" i="5"/>
  <c r="E201" i="5"/>
  <c r="AD201" i="5"/>
  <c r="E28" i="5"/>
  <c r="AD28" i="5"/>
  <c r="E142" i="5"/>
  <c r="AD142" i="5"/>
  <c r="E140" i="5"/>
  <c r="AD140" i="5"/>
  <c r="E178" i="5"/>
  <c r="AD178" i="5"/>
  <c r="E193" i="5"/>
  <c r="AD193" i="5"/>
  <c r="E179" i="5"/>
  <c r="AD179" i="5"/>
  <c r="E47" i="5"/>
  <c r="AD47" i="5"/>
  <c r="E89" i="5"/>
  <c r="AD89" i="5"/>
  <c r="E204" i="5"/>
  <c r="AD204" i="5"/>
  <c r="E170" i="5"/>
  <c r="AD170" i="5"/>
  <c r="E41" i="5"/>
  <c r="AD41" i="5"/>
  <c r="E65" i="5"/>
  <c r="AD65" i="5"/>
  <c r="E139" i="5"/>
  <c r="AD139" i="5"/>
  <c r="E56" i="5"/>
  <c r="AD56" i="5"/>
  <c r="E148" i="5"/>
  <c r="AD148" i="5"/>
  <c r="E207" i="5"/>
  <c r="AD207" i="5"/>
  <c r="E74" i="5"/>
  <c r="AD74" i="5"/>
  <c r="E111" i="5"/>
  <c r="AD111" i="5"/>
  <c r="E192" i="5"/>
  <c r="AD192" i="5"/>
  <c r="E149" i="5"/>
  <c r="AD149" i="5"/>
  <c r="E42" i="5"/>
  <c r="AD42" i="5"/>
  <c r="E195" i="5"/>
  <c r="AD195" i="5"/>
  <c r="E194" i="5"/>
  <c r="AD194" i="5"/>
  <c r="E116" i="5"/>
  <c r="AD116" i="5"/>
  <c r="E62" i="5"/>
  <c r="AD62" i="5"/>
  <c r="E173" i="5"/>
  <c r="AD173" i="5"/>
  <c r="E123" i="5"/>
  <c r="AD123" i="5"/>
  <c r="E188" i="5"/>
  <c r="AD188" i="5"/>
  <c r="E168" i="5"/>
  <c r="AD168" i="5"/>
  <c r="E11" i="5"/>
  <c r="AD11" i="5"/>
  <c r="E198" i="5"/>
  <c r="AD198" i="5"/>
  <c r="E156" i="5"/>
  <c r="AD156" i="5"/>
  <c r="E209" i="5"/>
  <c r="AD209" i="5"/>
  <c r="E208" i="5"/>
  <c r="AD208" i="5"/>
  <c r="E90" i="5"/>
  <c r="AD90" i="5"/>
  <c r="E130" i="5"/>
  <c r="AD130" i="5"/>
  <c r="E22" i="5"/>
  <c r="AD22" i="5"/>
  <c r="E147" i="5"/>
  <c r="AD147" i="5"/>
  <c r="E176" i="5"/>
  <c r="AD176" i="5"/>
  <c r="E122" i="5"/>
  <c r="AD122" i="5"/>
  <c r="E61" i="5"/>
  <c r="AD61" i="5"/>
  <c r="E180" i="5"/>
  <c r="AD180" i="5"/>
  <c r="E203" i="5"/>
  <c r="AD203" i="5"/>
  <c r="E20" i="5"/>
  <c r="AD20" i="5"/>
  <c r="E72" i="5"/>
  <c r="AD72" i="5"/>
  <c r="E120" i="5"/>
  <c r="AD120" i="5"/>
  <c r="E17" i="5"/>
  <c r="AD17" i="5"/>
  <c r="E171" i="5"/>
  <c r="AD171" i="5"/>
  <c r="E5" i="5"/>
  <c r="AD5" i="5"/>
  <c r="E69" i="5"/>
  <c r="AD69" i="5"/>
  <c r="E57" i="5"/>
  <c r="AD57" i="5"/>
  <c r="E79" i="5"/>
  <c r="AD79" i="5"/>
  <c r="E133" i="5"/>
  <c r="AD133" i="5"/>
  <c r="E51" i="5"/>
  <c r="AD51" i="5"/>
  <c r="E82" i="5"/>
  <c r="AD82" i="5"/>
  <c r="E175" i="5"/>
  <c r="AD175" i="5"/>
  <c r="E52" i="5"/>
  <c r="AD52" i="5"/>
  <c r="E202" i="5"/>
  <c r="AD202" i="5"/>
  <c r="E27" i="5"/>
  <c r="AD27" i="5"/>
  <c r="E159" i="5"/>
  <c r="AD159" i="5"/>
  <c r="E187" i="5"/>
  <c r="AD187" i="5"/>
  <c r="E136" i="5"/>
  <c r="AD136" i="5"/>
  <c r="E43" i="5"/>
  <c r="AD43" i="5"/>
  <c r="E24" i="5"/>
  <c r="AD24" i="5"/>
  <c r="E7" i="5"/>
  <c r="AD7" i="5"/>
  <c r="E150" i="5"/>
  <c r="AD150" i="5"/>
  <c r="E181" i="5"/>
  <c r="AD181" i="5"/>
  <c r="E102" i="5"/>
  <c r="AD102" i="5"/>
  <c r="E182" i="5"/>
  <c r="AD182" i="5"/>
  <c r="E55" i="5"/>
  <c r="AD55" i="5"/>
  <c r="E99" i="5"/>
  <c r="AD99" i="5"/>
  <c r="E191" i="5"/>
  <c r="AD191" i="5"/>
  <c r="E146" i="5"/>
  <c r="AD146" i="5"/>
  <c r="E53" i="5"/>
  <c r="AD53" i="5"/>
  <c r="E101" i="5"/>
  <c r="AD101" i="5"/>
  <c r="E4" i="5"/>
  <c r="AD4" i="5"/>
  <c r="E189" i="5"/>
  <c r="AD189" i="5"/>
  <c r="AA46" i="5"/>
  <c r="Z212" i="5"/>
  <c r="AB138" i="5"/>
  <c r="AD138" i="5" s="1"/>
  <c r="AB3" i="52" l="1"/>
  <c r="AA21" i="52"/>
  <c r="AB3" i="46"/>
  <c r="AA16" i="46"/>
  <c r="AA23" i="49"/>
  <c r="AB3" i="49"/>
  <c r="AB3" i="42"/>
  <c r="AA18" i="42"/>
  <c r="AB3" i="54"/>
  <c r="AA20" i="54"/>
  <c r="AB3" i="44"/>
  <c r="AA18" i="44"/>
  <c r="AB3" i="53"/>
  <c r="AA29" i="53"/>
  <c r="AB3" i="48"/>
  <c r="AA15" i="48"/>
  <c r="AB3" i="51"/>
  <c r="AA21" i="51"/>
  <c r="AB3" i="55"/>
  <c r="AA16" i="55"/>
  <c r="AB3" i="45"/>
  <c r="AA14" i="45"/>
  <c r="AB3" i="50"/>
  <c r="AA15" i="50"/>
  <c r="AB3" i="43"/>
  <c r="AA15" i="43"/>
  <c r="AB3" i="47"/>
  <c r="AA21" i="47"/>
  <c r="AB46" i="5"/>
  <c r="AD46" i="5" s="1"/>
  <c r="AD212" i="5" s="1"/>
  <c r="AA212" i="5"/>
  <c r="AD3" i="48" l="1"/>
  <c r="AD15" i="48" s="1"/>
  <c r="E3" i="48"/>
  <c r="E15" i="48" s="1"/>
  <c r="AB15" i="48"/>
  <c r="AB23" i="49"/>
  <c r="AD3" i="49"/>
  <c r="AD23" i="49" s="1"/>
  <c r="E3" i="49"/>
  <c r="E23" i="49" s="1"/>
  <c r="E3" i="50"/>
  <c r="E15" i="50" s="1"/>
  <c r="AD3" i="50"/>
  <c r="AD15" i="50" s="1"/>
  <c r="AB15" i="50"/>
  <c r="E3" i="45"/>
  <c r="E14" i="45" s="1"/>
  <c r="AD3" i="45"/>
  <c r="AD14" i="45" s="1"/>
  <c r="AB14" i="45"/>
  <c r="AD3" i="42"/>
  <c r="AD18" i="42" s="1"/>
  <c r="E3" i="42"/>
  <c r="E18" i="42" s="1"/>
  <c r="AB18" i="42"/>
  <c r="AD3" i="55"/>
  <c r="AD16" i="55" s="1"/>
  <c r="E3" i="55"/>
  <c r="E16" i="55" s="1"/>
  <c r="AB16" i="55"/>
  <c r="AD3" i="44"/>
  <c r="AD18" i="44" s="1"/>
  <c r="E3" i="44"/>
  <c r="E18" i="44" s="1"/>
  <c r="AB18" i="44"/>
  <c r="AD3" i="46"/>
  <c r="AD16" i="46" s="1"/>
  <c r="E3" i="46"/>
  <c r="E16" i="46" s="1"/>
  <c r="AB16" i="46"/>
  <c r="AD3" i="53"/>
  <c r="AD29" i="53" s="1"/>
  <c r="E3" i="53"/>
  <c r="E29" i="53" s="1"/>
  <c r="AB29" i="53"/>
  <c r="AD3" i="47"/>
  <c r="AD21" i="47" s="1"/>
  <c r="E3" i="47"/>
  <c r="E21" i="47" s="1"/>
  <c r="AB21" i="47"/>
  <c r="E3" i="43"/>
  <c r="E15" i="43" s="1"/>
  <c r="AD3" i="43"/>
  <c r="AD15" i="43" s="1"/>
  <c r="AB15" i="43"/>
  <c r="E3" i="51"/>
  <c r="E21" i="51" s="1"/>
  <c r="AD3" i="51"/>
  <c r="AD21" i="51" s="1"/>
  <c r="AB21" i="51"/>
  <c r="E3" i="54"/>
  <c r="E20" i="54" s="1"/>
  <c r="AD3" i="54"/>
  <c r="AD20" i="54" s="1"/>
  <c r="AB20" i="54"/>
  <c r="E3" i="52"/>
  <c r="E21" i="52" s="1"/>
  <c r="AD3" i="52"/>
  <c r="AD21" i="52" s="1"/>
  <c r="AB21" i="52"/>
  <c r="E46" i="5"/>
  <c r="AB212" i="5"/>
  <c r="E212" i="5" l="1"/>
</calcChain>
</file>

<file path=xl/sharedStrings.xml><?xml version="1.0" encoding="utf-8"?>
<sst xmlns="http://schemas.openxmlformats.org/spreadsheetml/2006/main" count="1759" uniqueCount="272">
  <si>
    <t>INFLATION ASSUMPTION</t>
  </si>
  <si>
    <t>MINISTRY</t>
  </si>
  <si>
    <t>Full Time Clergy</t>
  </si>
  <si>
    <t>DEPRIVATION</t>
  </si>
  <si>
    <t>PEOPLE</t>
  </si>
  <si>
    <t>Usual Sunday Attendance</t>
  </si>
  <si>
    <t>Auckland St Helen</t>
  </si>
  <si>
    <t>Bishop Auckland</t>
  </si>
  <si>
    <t>Auckland</t>
  </si>
  <si>
    <t>Byers Green</t>
  </si>
  <si>
    <t>Coundon</t>
  </si>
  <si>
    <t>Croxdale</t>
  </si>
  <si>
    <t>Eldon</t>
  </si>
  <si>
    <t>Etherley</t>
  </si>
  <si>
    <t>Great Aycliffe</t>
  </si>
  <si>
    <t>Hamsterley</t>
  </si>
  <si>
    <t>Merrington</t>
  </si>
  <si>
    <t>Shildon</t>
  </si>
  <si>
    <t>Spennymoor</t>
  </si>
  <si>
    <t>Tudhoe</t>
  </si>
  <si>
    <t>Tudhoe Grange</t>
  </si>
  <si>
    <t>Whitworth</t>
  </si>
  <si>
    <t>Witton le Wear</t>
  </si>
  <si>
    <t>Electoral roll</t>
  </si>
  <si>
    <t>Unrestricted income plus 10% restricted income</t>
  </si>
  <si>
    <t>Unrestricted reserves plus 10% restricted reserves</t>
  </si>
  <si>
    <t>Deanery</t>
  </si>
  <si>
    <t>Archdeaconry</t>
  </si>
  <si>
    <t>Parish</t>
  </si>
  <si>
    <t>Woodhouse Close CD</t>
  </si>
  <si>
    <t>Barnard Castle</t>
  </si>
  <si>
    <t>Barnard Castle w Whorlton</t>
  </si>
  <si>
    <t>Cockfield</t>
  </si>
  <si>
    <t>Eggleston</t>
  </si>
  <si>
    <t>Evenwood</t>
  </si>
  <si>
    <t>Forest &amp; Frith</t>
  </si>
  <si>
    <t>Gainford</t>
  </si>
  <si>
    <t>Ingleton</t>
  </si>
  <si>
    <t>Lynesack</t>
  </si>
  <si>
    <t>Middleton in Teesdale</t>
  </si>
  <si>
    <t>Staindrop</t>
  </si>
  <si>
    <t>Winston</t>
  </si>
  <si>
    <t>Chester le Street &amp; Houghton</t>
  </si>
  <si>
    <t>Sunderland</t>
  </si>
  <si>
    <t>Birtley</t>
  </si>
  <si>
    <t>Burnmoor</t>
  </si>
  <si>
    <t>Chester le Street</t>
  </si>
  <si>
    <t>Chilton Moor</t>
  </si>
  <si>
    <t>East Rainton</t>
  </si>
  <si>
    <t>Fatfield St George</t>
  </si>
  <si>
    <t>Herrington, Penshaw &amp; Shiney Row</t>
  </si>
  <si>
    <t>Hetton-Lyons w Eppleton</t>
  </si>
  <si>
    <t>Houghton le Spring</t>
  </si>
  <si>
    <t>Lumley</t>
  </si>
  <si>
    <t>Oxclose</t>
  </si>
  <si>
    <t>Usworth Holy Trinity</t>
  </si>
  <si>
    <t>Washington</t>
  </si>
  <si>
    <t>West Pelton</t>
  </si>
  <si>
    <t>West Rainton</t>
  </si>
  <si>
    <t>Darlington</t>
  </si>
  <si>
    <t>Blackwell All Saints &amp; Salutation</t>
  </si>
  <si>
    <t>Cockerton</t>
  </si>
  <si>
    <t>Darlington Holy Trinity</t>
  </si>
  <si>
    <t>Darlington St Cuthbert</t>
  </si>
  <si>
    <t>Darlington St Hilda &amp; St Columba</t>
  </si>
  <si>
    <t>Darlington St James</t>
  </si>
  <si>
    <t>Darlington St Mark w St Paul</t>
  </si>
  <si>
    <t>Darlington St Matthew w St Luke</t>
  </si>
  <si>
    <t xml:space="preserve">Dinsdale </t>
  </si>
  <si>
    <t>Haughton le Skerne</t>
  </si>
  <si>
    <t>Heighington</t>
  </si>
  <si>
    <t>Hurworth</t>
  </si>
  <si>
    <t>Middleton St George</t>
  </si>
  <si>
    <t>Sadberge</t>
  </si>
  <si>
    <t>Sockburn / Girsby</t>
  </si>
  <si>
    <t>Durham</t>
  </si>
  <si>
    <t>Bearpark</t>
  </si>
  <si>
    <t>Belmont</t>
  </si>
  <si>
    <t>Brancepeth</t>
  </si>
  <si>
    <t>Brandon</t>
  </si>
  <si>
    <t>Chilton</t>
  </si>
  <si>
    <t>Cornforth &amp; Ferryhill</t>
  </si>
  <si>
    <t>Coxhoe</t>
  </si>
  <si>
    <t>Durham St Cuthbert w St Aidan</t>
  </si>
  <si>
    <t>Durham St Giles</t>
  </si>
  <si>
    <t>Durham St Margaret</t>
  </si>
  <si>
    <t>Durham St Nicholas</t>
  </si>
  <si>
    <t>Durham St Oswald</t>
  </si>
  <si>
    <t>Esh &amp; Hamsteels</t>
  </si>
  <si>
    <t>Kimblesworth</t>
  </si>
  <si>
    <t>Langley Park</t>
  </si>
  <si>
    <t>Neville's Cross St John</t>
  </si>
  <si>
    <t>Pittington St Laurence</t>
  </si>
  <si>
    <t xml:space="preserve">Shadforth  </t>
  </si>
  <si>
    <t>Sherburn</t>
  </si>
  <si>
    <t>Shincliffe</t>
  </si>
  <si>
    <t>Ushaw Moor</t>
  </si>
  <si>
    <t>Waterhouses</t>
  </si>
  <si>
    <t>Witton Gilbert &amp; Sacriston</t>
  </si>
  <si>
    <t>Easington</t>
  </si>
  <si>
    <t>Dalton le Dale</t>
  </si>
  <si>
    <t>Easington Colliery</t>
  </si>
  <si>
    <t>Hawthorn</t>
  </si>
  <si>
    <t>Horden</t>
  </si>
  <si>
    <t>Murton</t>
  </si>
  <si>
    <t>New Seaham</t>
  </si>
  <si>
    <t>Peterlee</t>
  </si>
  <si>
    <t>Seaham St Mary the Virgin</t>
  </si>
  <si>
    <t>Seaham Harbour &amp; Dawdon</t>
  </si>
  <si>
    <t>South Hetton</t>
  </si>
  <si>
    <t>Wingate w Hutton Henry</t>
  </si>
  <si>
    <t>Gateshead</t>
  </si>
  <si>
    <t>Bensham &amp; Teams</t>
  </si>
  <si>
    <t>Eighton Banks</t>
  </si>
  <si>
    <t>Felling</t>
  </si>
  <si>
    <t>Gateshead Fell</t>
  </si>
  <si>
    <t>Gateshead St George</t>
  </si>
  <si>
    <t>Gateshead St Helen</t>
  </si>
  <si>
    <t>Harlow Green</t>
  </si>
  <si>
    <t>Heworth St Mary</t>
  </si>
  <si>
    <t>Lamesley</t>
  </si>
  <si>
    <t>Leam Lane</t>
  </si>
  <si>
    <t>Windy Nook St Alban</t>
  </si>
  <si>
    <t>Gateshead West</t>
  </si>
  <si>
    <t>Chopwell</t>
  </si>
  <si>
    <t>Dunston St Nicholas w Christ Church</t>
  </si>
  <si>
    <t>Greenside</t>
  </si>
  <si>
    <t>High Spen &amp; Rowlands Gill</t>
  </si>
  <si>
    <t>Hillside</t>
  </si>
  <si>
    <t>Ryton</t>
  </si>
  <si>
    <t>Whickham</t>
  </si>
  <si>
    <t>Winlaton</t>
  </si>
  <si>
    <t>Hartlepool</t>
  </si>
  <si>
    <t>Elwick Hall</t>
  </si>
  <si>
    <t>Greatham</t>
  </si>
  <si>
    <t>Hart</t>
  </si>
  <si>
    <t>Hartlepool Holy Trinity</t>
  </si>
  <si>
    <t>Hartlepool St Aidan &amp; St Columba</t>
  </si>
  <si>
    <t>Hartlepool St Hilda</t>
  </si>
  <si>
    <t>Hartlepool St Luke</t>
  </si>
  <si>
    <t>Hartlepool St Oswald</t>
  </si>
  <si>
    <t>Hartlepool St Paul</t>
  </si>
  <si>
    <t>Owton Manor</t>
  </si>
  <si>
    <t>Seaton Carew</t>
  </si>
  <si>
    <t>Stranton All Saints</t>
  </si>
  <si>
    <t>Jarrow</t>
  </si>
  <si>
    <t>Boldon</t>
  </si>
  <si>
    <t>Cleadon</t>
  </si>
  <si>
    <t>Cleadon Park</t>
  </si>
  <si>
    <t>East Boldon</t>
  </si>
  <si>
    <t>Harton St Peter</t>
  </si>
  <si>
    <t>Hebburn St Cuthbert &amp; St Oswald</t>
  </si>
  <si>
    <t>Hebburn St John</t>
  </si>
  <si>
    <t>Hedworth</t>
  </si>
  <si>
    <t>Horsley Hill St Lawrence the Martyr</t>
  </si>
  <si>
    <t>Jarrow Grange</t>
  </si>
  <si>
    <t>Jarrow &amp; Simonside</t>
  </si>
  <si>
    <t>Rekendyke</t>
  </si>
  <si>
    <t>South Shields All Saints Team Ministry</t>
  </si>
  <si>
    <t>South Shields St Aidan &amp; St Stephen</t>
  </si>
  <si>
    <t>South Shields St Hilda w St Thomas</t>
  </si>
  <si>
    <t>South Westoe</t>
  </si>
  <si>
    <t>Whitburn</t>
  </si>
  <si>
    <t>Lanchester</t>
  </si>
  <si>
    <t>Benfieldside</t>
  </si>
  <si>
    <t>Burnopfield &amp; Dipton</t>
  </si>
  <si>
    <t>Castleside</t>
  </si>
  <si>
    <t>Harelaw &amp; Annfield Plain</t>
  </si>
  <si>
    <t>Consett</t>
  </si>
  <si>
    <t>Ebchester</t>
  </si>
  <si>
    <t>Lanchester &amp; Burnhope</t>
  </si>
  <si>
    <t>Leadgate</t>
  </si>
  <si>
    <t>Medomsley</t>
  </si>
  <si>
    <t>Stanley &amp; South Moor</t>
  </si>
  <si>
    <t>Tanfield</t>
  </si>
  <si>
    <t>Stanhope</t>
  </si>
  <si>
    <t>Eastgate</t>
  </si>
  <si>
    <t>Heatherycleugh</t>
  </si>
  <si>
    <t>Hunwick</t>
  </si>
  <si>
    <t>Satley</t>
  </si>
  <si>
    <t>St John's Chapel</t>
  </si>
  <si>
    <t>Thornley</t>
  </si>
  <si>
    <t>Tow Law</t>
  </si>
  <si>
    <t>Willington &amp; Sunnybrow</t>
  </si>
  <si>
    <t>Wolsingham</t>
  </si>
  <si>
    <t>Stockton</t>
  </si>
  <si>
    <t>Billingham</t>
  </si>
  <si>
    <t>Egglescliffe</t>
  </si>
  <si>
    <t>Elton</t>
  </si>
  <si>
    <t>Long Newton</t>
  </si>
  <si>
    <t>Norton St Mary the Virgin</t>
  </si>
  <si>
    <t>Norton St Michael &amp; All Angels</t>
  </si>
  <si>
    <t>Preston on Tees</t>
  </si>
  <si>
    <t>Stockton Christchurch</t>
  </si>
  <si>
    <t>Stockton Country Parish</t>
  </si>
  <si>
    <t>Stockton on Tees Holy Trinity w St Mark</t>
  </si>
  <si>
    <t>Stockton on Tees St Paul</t>
  </si>
  <si>
    <t>Stockton on Tees St Peter</t>
  </si>
  <si>
    <t>Stockton Parish Church</t>
  </si>
  <si>
    <t>Upper Skerne TM</t>
  </si>
  <si>
    <t>Sunderland Minster</t>
  </si>
  <si>
    <t>Wearmouth</t>
  </si>
  <si>
    <t>Bishopwearmouth St Gabriel</t>
  </si>
  <si>
    <t>Bishopwearmouth St Mary Magdalene Millfield</t>
  </si>
  <si>
    <t>Bishopwearmouth St Nicholas</t>
  </si>
  <si>
    <t>Bishopwearmouth The Good Shepherd</t>
  </si>
  <si>
    <t>Grangetown St Aidan</t>
  </si>
  <si>
    <t>Hendon St Ignatius</t>
  </si>
  <si>
    <t>Monkwearmouth TM</t>
  </si>
  <si>
    <t>North Wearside</t>
  </si>
  <si>
    <t>Ryhope</t>
  </si>
  <si>
    <t>Sunderland St Matthew &amp; St Wilfrid</t>
  </si>
  <si>
    <t>Sunderland St Mary, St Thomas &amp; St Oswald</t>
  </si>
  <si>
    <t>Sunderland St Chad</t>
  </si>
  <si>
    <t>Sunderland St Mary &amp; St Peter</t>
  </si>
  <si>
    <t>Crook, St Catherine</t>
  </si>
  <si>
    <t>Newbottle, St Matthew</t>
  </si>
  <si>
    <t>Pelton, Holy Trinity</t>
  </si>
  <si>
    <t>Shotton Colliery, St Saviours</t>
  </si>
  <si>
    <t>Kelloe, St Helen's</t>
  </si>
  <si>
    <t>Coniscliffe, St Marys and St Edwins</t>
  </si>
  <si>
    <t>Swalwell</t>
  </si>
  <si>
    <t>Unrestricted income 2021</t>
  </si>
  <si>
    <t>Vine Church Wynyard</t>
  </si>
  <si>
    <t>Haswell</t>
  </si>
  <si>
    <t>Wheatley Hill &amp; Thornley</t>
  </si>
  <si>
    <t>Index of Multiple Deprivation (IMD) 2019</t>
  </si>
  <si>
    <t>Parish population per last national census 2011</t>
  </si>
  <si>
    <t>Factor Weighting</t>
  </si>
  <si>
    <t>Unrestricted Income + 10% of Restricted Income</t>
  </si>
  <si>
    <t>Weighting in Calculation</t>
  </si>
  <si>
    <t>Newton Hall LEP</t>
  </si>
  <si>
    <t>2024 pledge before 200% limit</t>
  </si>
  <si>
    <t xml:space="preserve"> 2024 Guided pledge</t>
  </si>
  <si>
    <t>Uncapped Guided pledge - UGP</t>
  </si>
  <si>
    <t>Factor to be applied to Base Data</t>
  </si>
  <si>
    <t>Clergy per Deanery Plan</t>
  </si>
  <si>
    <t xml:space="preserve">Blaydon   </t>
  </si>
  <si>
    <t>Escomb &amp; Witton Park</t>
  </si>
  <si>
    <t>Bowburn</t>
  </si>
  <si>
    <t>Darlington St Herbert and St John</t>
  </si>
  <si>
    <t>Millfield and Pallion</t>
  </si>
  <si>
    <t>Stanhope, Frosterley &amp; Rookhope</t>
  </si>
  <si>
    <t>Blackhall, Castle Eden &amp; Hesleden</t>
  </si>
  <si>
    <t>IMD Score, IMD index data from 2019</t>
  </si>
  <si>
    <t>Electoral Roll based on 2020 data</t>
  </si>
  <si>
    <t>Parish Population based on 2011 data</t>
  </si>
  <si>
    <r>
      <t xml:space="preserve">GP FINANCE FACTORS </t>
    </r>
    <r>
      <rPr>
        <sz val="11"/>
        <color rgb="FF000000"/>
        <rFont val="Calibri"/>
        <family val="2"/>
      </rPr>
      <t>based on most recent Parish Return available, usually 2022</t>
    </r>
  </si>
  <si>
    <t>Usual Sunday Attendance based on 2020 data</t>
  </si>
  <si>
    <t>Weighted Gross Guided Pledge</t>
  </si>
  <si>
    <t>Total per Diocese Base Data Sheet</t>
  </si>
  <si>
    <t>Guided pledge component - finance</t>
  </si>
  <si>
    <t>Guided pledge component - clergy</t>
  </si>
  <si>
    <t>Guided pledge component - IMD</t>
  </si>
  <si>
    <t>Guided pledge component - people</t>
  </si>
  <si>
    <t>Finance Component</t>
  </si>
  <si>
    <t>Clergy Component</t>
  </si>
  <si>
    <t>Deprivation Component</t>
  </si>
  <si>
    <t>People Component</t>
  </si>
  <si>
    <t>Financial Information from Parish Finance Return</t>
  </si>
  <si>
    <t>Unrestricted income 2022</t>
  </si>
  <si>
    <t>Unrestricted reserves 2022</t>
  </si>
  <si>
    <t>Restricted reserves 2022</t>
  </si>
  <si>
    <t>Restricted income 2022</t>
  </si>
  <si>
    <t>Application of caps</t>
  </si>
  <si>
    <t>65% limit unless Unrestricted Reserves &gt; Average Unrestricted Income</t>
  </si>
  <si>
    <t>2023 Actual pledge</t>
  </si>
  <si>
    <t>Pledges</t>
  </si>
  <si>
    <t>Lower of 200% of Ministry cost or pledge before limit</t>
  </si>
  <si>
    <t>CALCULATION FACTORS</t>
  </si>
  <si>
    <t>Input total used in Calculation of the Uncapped Guided Pledge (UGP) see column AF on calculation sheets</t>
  </si>
  <si>
    <t>Unrestricted Reserves + 10% of Restricted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</si>
</sst>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£&quot;#,##0;\-&quot;£&quot;#,##0"/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  <numFmt numFmtId="167" formatCode="0.000"/>
    <numFmt numFmtId="168" formatCode="#,##0.00_ ;[Red]\-#,##0.00\ "/>
    <numFmt numFmtId="169" formatCode="&quot;£&quot;#,##0"/>
    <numFmt numFmtId="170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1B9D6"/>
        <bgColor indexed="64"/>
      </patternFill>
    </fill>
    <fill>
      <patternFill patternType="solid">
        <fgColor rgb="FF9669A9"/>
        <bgColor indexed="64"/>
      </patternFill>
    </fill>
    <fill>
      <patternFill patternType="solid">
        <fgColor rgb="FF0C086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0" applyFont="1"/>
    <xf numFmtId="0" fontId="4" fillId="0" borderId="0" xfId="0" applyFont="1"/>
    <xf numFmtId="166" fontId="3" fillId="0" borderId="0" xfId="1" applyNumberFormat="1" applyFont="1" applyFill="1" applyBorder="1"/>
    <xf numFmtId="3" fontId="3" fillId="0" borderId="0" xfId="0" applyNumberFormat="1" applyFont="1" applyAlignment="1">
      <alignment horizontal="left"/>
    </xf>
    <xf numFmtId="166" fontId="5" fillId="0" borderId="0" xfId="1" applyNumberFormat="1" applyFont="1" applyFill="1" applyBorder="1"/>
    <xf numFmtId="166" fontId="7" fillId="0" borderId="0" xfId="0" applyNumberFormat="1" applyFont="1" applyAlignment="1">
      <alignment horizontal="left"/>
    </xf>
    <xf numFmtId="1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9" fontId="3" fillId="0" borderId="0" xfId="0" applyNumberFormat="1" applyFont="1"/>
    <xf numFmtId="0" fontId="2" fillId="0" borderId="0" xfId="0" applyFont="1"/>
    <xf numFmtId="0" fontId="9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6" fontId="0" fillId="0" borderId="0" xfId="0" applyNumberFormat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6" fontId="0" fillId="0" borderId="1" xfId="0" applyNumberFormat="1" applyBorder="1"/>
    <xf numFmtId="165" fontId="3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167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6" fontId="9" fillId="0" borderId="0" xfId="0" applyNumberFormat="1" applyFont="1"/>
    <xf numFmtId="165" fontId="9" fillId="0" borderId="0" xfId="2" applyNumberFormat="1" applyFont="1" applyFill="1" applyBorder="1"/>
    <xf numFmtId="5" fontId="1" fillId="0" borderId="0" xfId="0" applyNumberFormat="1" applyFont="1" applyAlignment="1">
      <alignment horizontal="right"/>
    </xf>
    <xf numFmtId="1" fontId="2" fillId="0" borderId="0" xfId="3" applyNumberFormat="1" applyFont="1" applyAlignment="1">
      <alignment horizontal="center" vertical="top" wrapText="1"/>
    </xf>
    <xf numFmtId="1" fontId="6" fillId="0" borderId="0" xfId="3" applyNumberFormat="1" applyFont="1"/>
    <xf numFmtId="3" fontId="6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/>
    <xf numFmtId="169" fontId="6" fillId="0" borderId="0" xfId="1" applyNumberFormat="1" applyFont="1" applyFill="1" applyBorder="1" applyAlignment="1">
      <alignment horizontal="right"/>
    </xf>
    <xf numFmtId="166" fontId="7" fillId="0" borderId="1" xfId="0" applyNumberFormat="1" applyFont="1" applyBorder="1"/>
    <xf numFmtId="166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70" fontId="3" fillId="0" borderId="0" xfId="0" applyNumberFormat="1" applyFont="1" applyAlignment="1">
      <alignment horizontal="right"/>
    </xf>
    <xf numFmtId="1" fontId="8" fillId="0" borderId="0" xfId="3" applyNumberFormat="1" applyFont="1" applyAlignment="1">
      <alignment vertical="top" wrapText="1"/>
    </xf>
    <xf numFmtId="5" fontId="1" fillId="0" borderId="1" xfId="0" applyNumberFormat="1" applyFont="1" applyBorder="1" applyAlignment="1">
      <alignment horizontal="right"/>
    </xf>
    <xf numFmtId="5" fontId="1" fillId="0" borderId="0" xfId="0" applyNumberFormat="1" applyFont="1" applyAlignment="1">
      <alignment horizontal="right" vertical="top" readingOrder="1"/>
    </xf>
    <xf numFmtId="5" fontId="1" fillId="2" borderId="0" xfId="0" applyNumberFormat="1" applyFont="1" applyFill="1" applyAlignment="1">
      <alignment horizontal="right"/>
    </xf>
    <xf numFmtId="5" fontId="7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5" fontId="3" fillId="2" borderId="0" xfId="0" applyNumberFormat="1" applyFont="1" applyFill="1" applyAlignment="1">
      <alignment horizontal="right"/>
    </xf>
    <xf numFmtId="5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5" fontId="1" fillId="3" borderId="0" xfId="0" applyNumberFormat="1" applyFont="1" applyFill="1" applyAlignment="1">
      <alignment horizontal="right"/>
    </xf>
    <xf numFmtId="5" fontId="1" fillId="3" borderId="1" xfId="0" applyNumberFormat="1" applyFont="1" applyFill="1" applyBorder="1" applyAlignment="1">
      <alignment horizontal="right"/>
    </xf>
    <xf numFmtId="5" fontId="12" fillId="3" borderId="0" xfId="0" applyNumberFormat="1" applyFont="1" applyFill="1" applyAlignment="1">
      <alignment horizontal="right"/>
    </xf>
    <xf numFmtId="5" fontId="12" fillId="3" borderId="1" xfId="0" applyNumberFormat="1" applyFont="1" applyFill="1" applyBorder="1" applyAlignment="1">
      <alignment horizontal="right"/>
    </xf>
    <xf numFmtId="1" fontId="12" fillId="3" borderId="0" xfId="0" applyNumberFormat="1" applyFont="1" applyFill="1"/>
    <xf numFmtId="3" fontId="1" fillId="3" borderId="0" xfId="0" applyNumberFormat="1" applyFont="1" applyFill="1" applyAlignment="1">
      <alignment horizontal="left"/>
    </xf>
    <xf numFmtId="3" fontId="12" fillId="3" borderId="0" xfId="0" applyNumberFormat="1" applyFont="1" applyFill="1" applyAlignment="1">
      <alignment horizontal="left"/>
    </xf>
    <xf numFmtId="5" fontId="13" fillId="3" borderId="1" xfId="0" applyNumberFormat="1" applyFont="1" applyFill="1" applyBorder="1" applyAlignment="1">
      <alignment horizontal="right"/>
    </xf>
    <xf numFmtId="0" fontId="12" fillId="3" borderId="0" xfId="0" applyFont="1" applyFill="1" applyAlignment="1">
      <alignment horizontal="left"/>
    </xf>
    <xf numFmtId="5" fontId="14" fillId="3" borderId="0" xfId="0" applyNumberFormat="1" applyFont="1" applyFill="1" applyAlignment="1">
      <alignment horizontal="right"/>
    </xf>
    <xf numFmtId="5" fontId="12" fillId="4" borderId="0" xfId="0" applyNumberFormat="1" applyFont="1" applyFill="1" applyAlignment="1">
      <alignment horizontal="right"/>
    </xf>
    <xf numFmtId="5" fontId="12" fillId="4" borderId="1" xfId="0" applyNumberFormat="1" applyFont="1" applyFill="1" applyBorder="1" applyAlignment="1">
      <alignment horizontal="right"/>
    </xf>
    <xf numFmtId="3" fontId="12" fillId="4" borderId="0" xfId="0" applyNumberFormat="1" applyFont="1" applyFill="1" applyAlignment="1">
      <alignment horizontal="left"/>
    </xf>
    <xf numFmtId="5" fontId="14" fillId="4" borderId="0" xfId="0" applyNumberFormat="1" applyFont="1" applyFill="1" applyAlignment="1">
      <alignment horizontal="right"/>
    </xf>
    <xf numFmtId="3" fontId="12" fillId="3" borderId="0" xfId="0" applyNumberFormat="1" applyFont="1" applyFill="1" applyAlignment="1">
      <alignment horizontal="center"/>
    </xf>
    <xf numFmtId="3" fontId="12" fillId="4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3" fontId="12" fillId="3" borderId="1" xfId="0" applyNumberFormat="1" applyFont="1" applyFill="1" applyBorder="1"/>
    <xf numFmtId="3" fontId="12" fillId="4" borderId="1" xfId="0" applyNumberFormat="1" applyFont="1" applyFill="1" applyBorder="1"/>
    <xf numFmtId="164" fontId="14" fillId="3" borderId="0" xfId="0" applyNumberFormat="1" applyFont="1" applyFill="1" applyAlignment="1">
      <alignment horizontal="center"/>
    </xf>
    <xf numFmtId="168" fontId="12" fillId="3" borderId="0" xfId="0" applyNumberFormat="1" applyFont="1" applyFill="1" applyAlignment="1">
      <alignment horizontal="center"/>
    </xf>
    <xf numFmtId="5" fontId="12" fillId="4" borderId="0" xfId="0" applyNumberFormat="1" applyFont="1" applyFill="1" applyAlignment="1">
      <alignment horizontal="right" vertical="top" readingOrder="1"/>
    </xf>
    <xf numFmtId="0" fontId="12" fillId="4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5" fontId="13" fillId="4" borderId="1" xfId="0" applyNumberFormat="1" applyFont="1" applyFill="1" applyBorder="1" applyAlignment="1">
      <alignment horizontal="right"/>
    </xf>
    <xf numFmtId="5" fontId="15" fillId="3" borderId="0" xfId="1" applyNumberFormat="1" applyFont="1" applyFill="1" applyAlignment="1">
      <alignment horizontal="right"/>
    </xf>
    <xf numFmtId="4" fontId="6" fillId="2" borderId="0" xfId="3" applyNumberFormat="1" applyFont="1" applyFill="1"/>
    <xf numFmtId="1" fontId="6" fillId="2" borderId="0" xfId="3" applyNumberFormat="1" applyFont="1" applyFill="1"/>
    <xf numFmtId="4" fontId="5" fillId="0" borderId="0" xfId="3" applyNumberFormat="1"/>
    <xf numFmtId="1" fontId="5" fillId="0" borderId="0" xfId="3" applyNumberFormat="1"/>
    <xf numFmtId="5" fontId="16" fillId="0" borderId="0" xfId="0" applyNumberFormat="1" applyFont="1" applyAlignment="1">
      <alignment horizontal="right"/>
    </xf>
    <xf numFmtId="5" fontId="17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5" fontId="16" fillId="0" borderId="0" xfId="0" applyNumberFormat="1" applyFont="1" applyAlignment="1">
      <alignment horizontal="right" vertical="top" readingOrder="1"/>
    </xf>
    <xf numFmtId="5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Border="1" applyAlignment="1"/>
    <xf numFmtId="3" fontId="5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38" fontId="18" fillId="0" borderId="0" xfId="3" applyNumberFormat="1" applyFont="1"/>
    <xf numFmtId="38" fontId="8" fillId="2" borderId="0" xfId="3" applyNumberFormat="1" applyFont="1" applyFill="1"/>
    <xf numFmtId="49" fontId="2" fillId="2" borderId="0" xfId="0" applyNumberFormat="1" applyFont="1" applyFill="1"/>
    <xf numFmtId="49" fontId="19" fillId="0" borderId="0" xfId="0" applyNumberFormat="1" applyFont="1" applyAlignment="1">
      <alignment wrapText="1"/>
    </xf>
    <xf numFmtId="0" fontId="20" fillId="0" borderId="0" xfId="0" applyFont="1" applyAlignment="1">
      <alignment horizontal="left" wrapText="1"/>
    </xf>
    <xf numFmtId="1" fontId="20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3" fontId="20" fillId="0" borderId="0" xfId="0" applyNumberFormat="1" applyFont="1" applyAlignment="1">
      <alignment horizontal="left" wrapText="1"/>
    </xf>
    <xf numFmtId="0" fontId="23" fillId="2" borderId="0" xfId="3" applyFont="1" applyFill="1" applyAlignment="1">
      <alignment vertical="top" wrapText="1"/>
    </xf>
    <xf numFmtId="0" fontId="24" fillId="2" borderId="0" xfId="0" applyFont="1" applyFill="1" applyAlignment="1">
      <alignment horizontal="right" vertical="top" wrapText="1"/>
    </xf>
    <xf numFmtId="1" fontId="21" fillId="3" borderId="0" xfId="3" applyNumberFormat="1" applyFont="1" applyFill="1" applyAlignment="1">
      <alignment vertical="center" textRotation="90" wrapText="1"/>
    </xf>
    <xf numFmtId="3" fontId="25" fillId="4" borderId="0" xfId="0" applyNumberFormat="1" applyFont="1" applyFill="1" applyAlignment="1">
      <alignment vertical="center" textRotation="90" wrapText="1"/>
    </xf>
    <xf numFmtId="3" fontId="25" fillId="3" borderId="0" xfId="0" applyNumberFormat="1" applyFont="1" applyFill="1" applyAlignment="1">
      <alignment vertical="center" textRotation="90" wrapText="1"/>
    </xf>
    <xf numFmtId="3" fontId="26" fillId="3" borderId="0" xfId="0" applyNumberFormat="1" applyFont="1" applyFill="1" applyAlignment="1">
      <alignment vertical="center" textRotation="90" wrapText="1"/>
    </xf>
    <xf numFmtId="3" fontId="26" fillId="0" borderId="0" xfId="0" applyNumberFormat="1" applyFont="1" applyAlignment="1">
      <alignment vertical="center" textRotation="90" wrapText="1"/>
    </xf>
    <xf numFmtId="0" fontId="25" fillId="3" borderId="0" xfId="0" applyFont="1" applyFill="1" applyAlignment="1">
      <alignment vertical="center" textRotation="90" wrapText="1"/>
    </xf>
    <xf numFmtId="0" fontId="26" fillId="2" borderId="0" xfId="0" applyFont="1" applyFill="1" applyAlignment="1">
      <alignment vertical="center" textRotation="90" wrapText="1"/>
    </xf>
    <xf numFmtId="0" fontId="25" fillId="4" borderId="0" xfId="0" applyFont="1" applyFill="1" applyAlignment="1">
      <alignment vertical="center" textRotation="90" wrapText="1"/>
    </xf>
    <xf numFmtId="0" fontId="25" fillId="4" borderId="2" xfId="0" applyFont="1" applyFill="1" applyBorder="1" applyAlignment="1">
      <alignment vertical="center" textRotation="90" wrapText="1"/>
    </xf>
    <xf numFmtId="0" fontId="26" fillId="0" borderId="0" xfId="0" applyFont="1" applyAlignment="1">
      <alignment vertical="center" textRotation="90" wrapText="1"/>
    </xf>
    <xf numFmtId="0" fontId="27" fillId="2" borderId="0" xfId="0" applyFont="1" applyFill="1" applyAlignment="1">
      <alignment vertical="center" textRotation="90" wrapText="1"/>
    </xf>
    <xf numFmtId="0" fontId="21" fillId="5" borderId="0" xfId="0" applyFont="1" applyFill="1" applyAlignment="1">
      <alignment horizontal="center" wrapText="1"/>
    </xf>
    <xf numFmtId="0" fontId="26" fillId="5" borderId="0" xfId="0" applyFont="1" applyFill="1" applyAlignment="1">
      <alignment vertical="center" textRotation="90" wrapText="1"/>
    </xf>
    <xf numFmtId="5" fontId="17" fillId="5" borderId="0" xfId="0" applyNumberFormat="1" applyFont="1" applyFill="1" applyAlignment="1">
      <alignment horizontal="right"/>
    </xf>
    <xf numFmtId="5" fontId="3" fillId="5" borderId="0" xfId="0" applyNumberFormat="1" applyFont="1" applyFill="1" applyAlignment="1">
      <alignment horizontal="right"/>
    </xf>
    <xf numFmtId="5" fontId="1" fillId="5" borderId="1" xfId="0" applyNumberFormat="1" applyFont="1" applyFill="1" applyBorder="1" applyAlignment="1">
      <alignment horizontal="right"/>
    </xf>
    <xf numFmtId="0" fontId="1" fillId="5" borderId="0" xfId="0" applyFont="1" applyFill="1" applyAlignment="1">
      <alignment horizontal="left"/>
    </xf>
    <xf numFmtId="3" fontId="21" fillId="3" borderId="0" xfId="0" applyNumberFormat="1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1" fillId="4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 wrapTex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3" xfId="4" xr:uid="{183C6E5C-3107-4AEC-B7D1-90761893DBCA}"/>
    <cellStyle name="Normal 3 2" xfId="5" xr:uid="{2F572C11-0593-47B9-A13D-01336DE39955}"/>
    <cellStyle name="Percent" xfId="2" builtinId="5"/>
  </cellStyles>
  <dxfs count="0"/>
  <tableStyles count="0" defaultTableStyle="TableStyleMedium2" defaultPivotStyle="PivotStyleLight16"/>
  <colors>
    <mruColors>
      <color rgb="FF9669A9"/>
      <color rgb="FF0C086D"/>
      <color rgb="FFC1B9D6"/>
      <color rgb="FFA9D08E"/>
      <color rgb="FFFF6600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13"/>
  <sheetViews>
    <sheetView tabSelected="1" zoomScale="90" zoomScaleNormal="90" workbookViewId="0">
      <pane xSplit="4" ySplit="2" topLeftCell="E198" activePane="bottomRight" state="frozen"/>
      <selection activeCell="D2" sqref="D2"/>
      <selection pane="topRight" activeCell="D2" sqref="D2"/>
      <selection pane="bottomLeft" activeCell="D2" sqref="D2"/>
      <selection pane="bottomRight" activeCell="O10" sqref="O10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6</v>
      </c>
      <c r="B3" s="78" t="s">
        <v>8</v>
      </c>
      <c r="C3" s="78" t="s">
        <v>8</v>
      </c>
      <c r="D3" s="79"/>
      <c r="E3" s="80">
        <f t="shared" ref="E3:E34" si="0">+AB3</f>
        <v>30376.287153295452</v>
      </c>
      <c r="F3" s="80"/>
      <c r="G3" s="80">
        <f>57454-1500</f>
        <v>55954</v>
      </c>
      <c r="H3" s="80">
        <v>70841</v>
      </c>
      <c r="I3" s="80">
        <v>18872</v>
      </c>
      <c r="J3" s="80">
        <v>140867</v>
      </c>
      <c r="K3" s="80">
        <v>8930</v>
      </c>
      <c r="L3" s="80"/>
      <c r="M3" s="81">
        <f t="shared" ref="M3:M66" si="1">H3+K3*0.1</f>
        <v>71734</v>
      </c>
      <c r="N3" s="81">
        <f t="shared" ref="N3:N66" si="2">I3+0.1*J3</f>
        <v>32958.699999999997</v>
      </c>
      <c r="O3" s="81">
        <f>SUM(M3*'Factors &amp; Percentages'!$E$6+N3*'Factors &amp; Percentages'!$E$7)</f>
        <v>7712.7270509113696</v>
      </c>
      <c r="P3" s="82">
        <v>1</v>
      </c>
      <c r="Q3" s="81">
        <f>P3*'Factors &amp; Percentages'!$E$10</f>
        <v>10965.575791168743</v>
      </c>
      <c r="R3" s="83">
        <v>1192</v>
      </c>
      <c r="S3" s="81">
        <f>R3*'Factors &amp; Percentages'!$E$13</f>
        <v>2116.6111832883039</v>
      </c>
      <c r="T3" s="84">
        <v>55</v>
      </c>
      <c r="U3" s="84">
        <v>125</v>
      </c>
      <c r="V3" s="84">
        <v>5999</v>
      </c>
      <c r="W3" s="81">
        <f>T3*'Factors &amp; Percentages'!$E$16+U3*'Factors &amp; Percentages'!$E$17+V3*'Factors &amp; Percentages'!$E$18</f>
        <v>9581.373127927036</v>
      </c>
      <c r="X3" s="113"/>
      <c r="Y3" s="81">
        <f t="shared" ref="Y3:Y66" si="3">O3+Q3+S3+W3</f>
        <v>30376.287153295452</v>
      </c>
      <c r="Z3" s="85">
        <f t="shared" ref="Z3:Z66" si="4">IF($I3&gt;($H3+$G3)/2,$Y3,MIN(Y3,$H3*0.65))</f>
        <v>30376.287153295452</v>
      </c>
      <c r="AA3" s="80">
        <f>IF($AE3&gt;$Z3,$AE3*(1+'Factors &amp; Percentages'!$B$3),IF($Y3&gt;$Z3,$Z3,IF($Y3&gt;$AE3,$Y3,$AE3*(1+'Factors &amp; Percentages'!$B$3))))</f>
        <v>30376.287153295452</v>
      </c>
      <c r="AB3" s="80">
        <f t="shared" ref="AB3:AB66" si="5">MIN(AA3,+P3*2*88928)</f>
        <v>30376.287153295452</v>
      </c>
      <c r="AC3" s="85"/>
      <c r="AD3" s="80">
        <f>AB3</f>
        <v>30376.287153295452</v>
      </c>
      <c r="AE3" s="86">
        <v>30000</v>
      </c>
      <c r="AF3" s="87"/>
      <c r="AG3" s="88"/>
      <c r="AH3" s="88"/>
      <c r="AI3" s="88"/>
      <c r="AJ3" s="5"/>
    </row>
    <row r="4" spans="1:36" x14ac:dyDescent="0.3">
      <c r="A4" s="91" t="s">
        <v>31</v>
      </c>
      <c r="B4" s="76" t="s">
        <v>8</v>
      </c>
      <c r="C4" s="76" t="s">
        <v>30</v>
      </c>
      <c r="D4" s="31"/>
      <c r="E4" s="43">
        <f t="shared" si="0"/>
        <v>75291.3</v>
      </c>
      <c r="F4" s="29"/>
      <c r="G4" s="51">
        <v>100442</v>
      </c>
      <c r="H4" s="59">
        <v>93456</v>
      </c>
      <c r="I4" s="51">
        <v>68271</v>
      </c>
      <c r="J4" s="59">
        <v>37192</v>
      </c>
      <c r="K4" s="49">
        <v>11558</v>
      </c>
      <c r="L4" s="29"/>
      <c r="M4" s="62">
        <f t="shared" si="1"/>
        <v>94611.8</v>
      </c>
      <c r="N4" s="58">
        <f t="shared" si="2"/>
        <v>71990.2</v>
      </c>
      <c r="O4" s="46">
        <f>SUM(M4*'Factors &amp; Percentages'!$E$6+N4*'Factors &amp; Percentages'!$E$7)</f>
        <v>11842.393702861889</v>
      </c>
      <c r="P4" s="65">
        <v>1</v>
      </c>
      <c r="Q4" s="46">
        <f>P4*'Factors &amp; Percentages'!$E$10</f>
        <v>10965.575791168743</v>
      </c>
      <c r="R4" s="69">
        <v>6700</v>
      </c>
      <c r="S4" s="46">
        <f>R4*'Factors &amp; Percentages'!$E$13</f>
        <v>11897.059503382245</v>
      </c>
      <c r="T4" s="63">
        <v>86</v>
      </c>
      <c r="U4" s="64">
        <v>135</v>
      </c>
      <c r="V4" s="63">
        <v>6953</v>
      </c>
      <c r="W4" s="46">
        <f>T4*'Factors &amp; Percentages'!$E$16+U4*'Factors &amp; Percentages'!$E$17+V4*'Factors &amp; Percentages'!$E$18</f>
        <v>13476.291392401596</v>
      </c>
      <c r="X4" s="114"/>
      <c r="Y4" s="58">
        <f t="shared" si="3"/>
        <v>48181.320389814471</v>
      </c>
      <c r="Z4" s="71">
        <f t="shared" si="4"/>
        <v>48181.320389814471</v>
      </c>
      <c r="AA4" s="51">
        <f>IF($AE4&gt;$Z4,$AE4*(1+'Factors &amp; Percentages'!$B$3),IF($Y4&gt;$Z4,$Z4,IF($Y4&gt;$AE4,$Y4,$AE4*(1+'Factors &amp; Percentages'!$B$3))))</f>
        <v>75291.3</v>
      </c>
      <c r="AB4" s="59">
        <f t="shared" si="5"/>
        <v>75291.3</v>
      </c>
      <c r="AC4" s="42"/>
      <c r="AD4" s="43">
        <f t="shared" ref="AD4:AD67" si="6">AB4</f>
        <v>75291.3</v>
      </c>
      <c r="AE4" s="75">
        <v>71706</v>
      </c>
      <c r="AF4" s="32"/>
      <c r="AG4" s="33"/>
      <c r="AH4" s="33"/>
      <c r="AI4" s="33"/>
      <c r="AJ4" s="5"/>
    </row>
    <row r="5" spans="1:36" s="89" customFormat="1" x14ac:dyDescent="0.3">
      <c r="A5" s="90" t="s">
        <v>76</v>
      </c>
      <c r="B5" s="78" t="s">
        <v>75</v>
      </c>
      <c r="C5" s="78" t="s">
        <v>75</v>
      </c>
      <c r="D5" s="79"/>
      <c r="E5" s="80">
        <f t="shared" si="0"/>
        <v>17205.713594542671</v>
      </c>
      <c r="F5" s="80"/>
      <c r="G5" s="80">
        <v>11540</v>
      </c>
      <c r="H5" s="80">
        <v>13966</v>
      </c>
      <c r="I5" s="80">
        <v>134035</v>
      </c>
      <c r="J5" s="80">
        <v>5645</v>
      </c>
      <c r="K5" s="80">
        <v>5950</v>
      </c>
      <c r="L5" s="80"/>
      <c r="M5" s="81">
        <f t="shared" si="1"/>
        <v>14561</v>
      </c>
      <c r="N5" s="81">
        <f t="shared" si="2"/>
        <v>134599.5</v>
      </c>
      <c r="O5" s="81">
        <f>SUM(M5*'Factors &amp; Percentages'!$E$6+N5*'Factors &amp; Percentages'!$E$7)</f>
        <v>9054.7928630483457</v>
      </c>
      <c r="P5" s="82">
        <v>0.2</v>
      </c>
      <c r="Q5" s="81">
        <f>P5*'Factors &amp; Percentages'!$E$10</f>
        <v>2193.1151582337488</v>
      </c>
      <c r="R5" s="83">
        <v>1602</v>
      </c>
      <c r="S5" s="81">
        <f>R5*'Factors &amp; Percentages'!$E$13</f>
        <v>2844.6401976743814</v>
      </c>
      <c r="T5" s="84">
        <v>20</v>
      </c>
      <c r="U5" s="84">
        <v>26</v>
      </c>
      <c r="V5" s="84">
        <v>2055</v>
      </c>
      <c r="W5" s="81">
        <f>T5*'Factors &amp; Percentages'!$E$16+U5*'Factors &amp; Percentages'!$E$17+V5*'Factors &amp; Percentages'!$E$18</f>
        <v>3113.1653755861917</v>
      </c>
      <c r="X5" s="113"/>
      <c r="Y5" s="81">
        <f t="shared" si="3"/>
        <v>17205.713594542671</v>
      </c>
      <c r="Z5" s="85">
        <f t="shared" si="4"/>
        <v>17205.713594542671</v>
      </c>
      <c r="AA5" s="80">
        <f>IF($AE5&gt;$Z5,$AE5*(1+'Factors &amp; Percentages'!$B$3),IF($Y5&gt;$Z5,$Z5,IF($Y5&gt;$AE5,$Y5,$AE5*(1+'Factors &amp; Percentages'!$B$3))))</f>
        <v>17205.713594542671</v>
      </c>
      <c r="AB5" s="80">
        <f t="shared" si="5"/>
        <v>17205.713594542671</v>
      </c>
      <c r="AC5" s="85"/>
      <c r="AD5" s="80">
        <f t="shared" si="6"/>
        <v>17205.713594542671</v>
      </c>
      <c r="AE5" s="86">
        <v>7501</v>
      </c>
      <c r="AF5" s="87"/>
      <c r="AG5" s="88"/>
      <c r="AH5" s="88"/>
      <c r="AI5" s="88"/>
      <c r="AJ5" s="5"/>
    </row>
    <row r="6" spans="1:36" x14ac:dyDescent="0.3">
      <c r="A6" s="91" t="s">
        <v>77</v>
      </c>
      <c r="B6" s="76" t="s">
        <v>75</v>
      </c>
      <c r="C6" s="76" t="s">
        <v>75</v>
      </c>
      <c r="D6" s="31"/>
      <c r="E6" s="43">
        <f t="shared" si="0"/>
        <v>59850</v>
      </c>
      <c r="F6" s="29"/>
      <c r="G6" s="51">
        <f>88893-23138</f>
        <v>65755</v>
      </c>
      <c r="H6" s="59">
        <v>59034</v>
      </c>
      <c r="I6" s="51">
        <v>38803</v>
      </c>
      <c r="J6" s="59">
        <v>10000</v>
      </c>
      <c r="K6" s="49">
        <v>0</v>
      </c>
      <c r="L6" s="29"/>
      <c r="M6" s="62">
        <f t="shared" si="1"/>
        <v>59034</v>
      </c>
      <c r="N6" s="58">
        <f t="shared" si="2"/>
        <v>39803</v>
      </c>
      <c r="O6" s="46">
        <f>SUM(M6*'Factors &amp; Percentages'!$E$6+N6*'Factors &amp; Percentages'!$E$7)</f>
        <v>7089.6345901731838</v>
      </c>
      <c r="P6" s="65">
        <v>0.5</v>
      </c>
      <c r="Q6" s="46">
        <f>P6*'Factors &amp; Percentages'!$E$10</f>
        <v>5482.7878955843717</v>
      </c>
      <c r="R6" s="69">
        <v>9576</v>
      </c>
      <c r="S6" s="46">
        <f>R6*'Factors &amp; Percentages'!$E$13</f>
        <v>17003.916687222143</v>
      </c>
      <c r="T6" s="63">
        <v>45</v>
      </c>
      <c r="U6" s="64">
        <v>138</v>
      </c>
      <c r="V6" s="63">
        <v>8131</v>
      </c>
      <c r="W6" s="46">
        <f>T6*'Factors &amp; Percentages'!$E$16+U6*'Factors &amp; Percentages'!$E$17+V6*'Factors &amp; Percentages'!$E$18</f>
        <v>9039.0712923788251</v>
      </c>
      <c r="X6" s="114"/>
      <c r="Y6" s="58">
        <f t="shared" si="3"/>
        <v>38615.410465358524</v>
      </c>
      <c r="Z6" s="71">
        <f t="shared" si="4"/>
        <v>38372.1</v>
      </c>
      <c r="AA6" s="51">
        <f>IF($AE6&gt;$Z6,$AE6*(1+'Factors &amp; Percentages'!$B$3),IF($Y6&gt;$Z6,$Z6,IF($Y6&gt;$AE6,$Y6,$AE6*(1+'Factors &amp; Percentages'!$B$3))))</f>
        <v>59850</v>
      </c>
      <c r="AB6" s="59">
        <f t="shared" si="5"/>
        <v>59850</v>
      </c>
      <c r="AC6" s="42"/>
      <c r="AD6" s="43">
        <f t="shared" si="6"/>
        <v>59850</v>
      </c>
      <c r="AE6" s="75">
        <v>57000</v>
      </c>
      <c r="AF6" s="32"/>
      <c r="AG6" s="33"/>
      <c r="AH6" s="33"/>
      <c r="AI6" s="33"/>
      <c r="AJ6" s="5"/>
    </row>
    <row r="7" spans="1:36" s="89" customFormat="1" x14ac:dyDescent="0.3">
      <c r="A7" s="90" t="s">
        <v>164</v>
      </c>
      <c r="B7" s="78" t="s">
        <v>75</v>
      </c>
      <c r="C7" s="78" t="s">
        <v>163</v>
      </c>
      <c r="D7" s="79"/>
      <c r="E7" s="80">
        <f t="shared" si="0"/>
        <v>27329.695477839177</v>
      </c>
      <c r="F7" s="80"/>
      <c r="G7" s="80">
        <v>40109</v>
      </c>
      <c r="H7" s="80">
        <v>40424</v>
      </c>
      <c r="I7" s="80">
        <v>42470</v>
      </c>
      <c r="J7" s="80">
        <v>18733</v>
      </c>
      <c r="K7" s="80">
        <v>1190</v>
      </c>
      <c r="L7" s="80"/>
      <c r="M7" s="81">
        <f t="shared" si="1"/>
        <v>40543</v>
      </c>
      <c r="N7" s="81">
        <f t="shared" si="2"/>
        <v>44343.3</v>
      </c>
      <c r="O7" s="81">
        <f>SUM(M7*'Factors &amp; Percentages'!$E$6+N7*'Factors &amp; Percentages'!$E$7)</f>
        <v>5864.7889965780068</v>
      </c>
      <c r="P7" s="82">
        <v>0.5</v>
      </c>
      <c r="Q7" s="81">
        <f>P7*'Factors &amp; Percentages'!$E$10</f>
        <v>5482.7878955843717</v>
      </c>
      <c r="R7" s="83">
        <v>4911</v>
      </c>
      <c r="S7" s="81">
        <f>R7*'Factors &amp; Percentages'!$E$13</f>
        <v>8720.3670479268949</v>
      </c>
      <c r="T7" s="84">
        <v>36</v>
      </c>
      <c r="U7" s="84">
        <v>81</v>
      </c>
      <c r="V7" s="84">
        <v>9723</v>
      </c>
      <c r="W7" s="81">
        <f>T7*'Factors &amp; Percentages'!$E$16+U7*'Factors &amp; Percentages'!$E$17+V7*'Factors &amp; Percentages'!$E$18</f>
        <v>7261.7515377499039</v>
      </c>
      <c r="X7" s="113"/>
      <c r="Y7" s="81">
        <f t="shared" si="3"/>
        <v>27329.695477839177</v>
      </c>
      <c r="Z7" s="85">
        <f t="shared" si="4"/>
        <v>27329.695477839177</v>
      </c>
      <c r="AA7" s="80">
        <f>IF($AE7&gt;$Z7,$AE7*(1+'Factors &amp; Percentages'!$B$3),IF($Y7&gt;$Z7,$Z7,IF($Y7&gt;$AE7,$Y7,$AE7*(1+'Factors &amp; Percentages'!$B$3))))</f>
        <v>27329.695477839177</v>
      </c>
      <c r="AB7" s="80">
        <f t="shared" si="5"/>
        <v>27329.695477839177</v>
      </c>
      <c r="AC7" s="85"/>
      <c r="AD7" s="80">
        <f t="shared" si="6"/>
        <v>27329.695477839177</v>
      </c>
      <c r="AE7" s="86">
        <v>26713</v>
      </c>
      <c r="AF7" s="87"/>
      <c r="AG7" s="88"/>
      <c r="AH7" s="88"/>
      <c r="AI7" s="88"/>
      <c r="AJ7" s="5"/>
    </row>
    <row r="8" spans="1:36" x14ac:dyDescent="0.3">
      <c r="A8" s="91" t="s">
        <v>112</v>
      </c>
      <c r="B8" s="76" t="s">
        <v>43</v>
      </c>
      <c r="C8" s="76" t="s">
        <v>111</v>
      </c>
      <c r="D8" s="31"/>
      <c r="E8" s="43">
        <f t="shared" si="0"/>
        <v>40715.007033469665</v>
      </c>
      <c r="F8" s="29"/>
      <c r="G8" s="51">
        <v>23759</v>
      </c>
      <c r="H8" s="59">
        <v>34877</v>
      </c>
      <c r="I8" s="51">
        <v>176525</v>
      </c>
      <c r="J8" s="59">
        <v>35413</v>
      </c>
      <c r="K8" s="49">
        <v>539606</v>
      </c>
      <c r="L8" s="29"/>
      <c r="M8" s="62">
        <f t="shared" si="1"/>
        <v>88837.6</v>
      </c>
      <c r="N8" s="58">
        <f t="shared" si="2"/>
        <v>180066.3</v>
      </c>
      <c r="O8" s="46">
        <f>SUM(M8*'Factors &amp; Percentages'!$E$6+N8*'Factors &amp; Percentages'!$E$7)</f>
        <v>17704.857567932511</v>
      </c>
      <c r="P8" s="65">
        <v>1.5</v>
      </c>
      <c r="Q8" s="46">
        <f>P8*'Factors &amp; Percentages'!$E$10</f>
        <v>16448.363686753117</v>
      </c>
      <c r="R8" s="69">
        <v>579</v>
      </c>
      <c r="S8" s="46">
        <f>R8*'Factors &amp; Percentages'!$E$13</f>
        <v>1028.119022754973</v>
      </c>
      <c r="T8" s="63">
        <v>12</v>
      </c>
      <c r="U8" s="64">
        <v>23</v>
      </c>
      <c r="V8" s="63">
        <v>21610</v>
      </c>
      <c r="W8" s="46">
        <f>T8*'Factors &amp; Percentages'!$E$16+U8*'Factors &amp; Percentages'!$E$17+V8*'Factors &amp; Percentages'!$E$18</f>
        <v>5533.6667560290589</v>
      </c>
      <c r="X8" s="114"/>
      <c r="Y8" s="58">
        <f t="shared" si="3"/>
        <v>40715.007033469665</v>
      </c>
      <c r="Z8" s="71">
        <f t="shared" si="4"/>
        <v>40715.007033469665</v>
      </c>
      <c r="AA8" s="51">
        <f>IF($AE8&gt;$Z8,$AE8*(1+'Factors &amp; Percentages'!$B$3),IF($Y8&gt;$Z8,$Z8,IF($Y8&gt;$AE8,$Y8,$AE8*(1+'Factors &amp; Percentages'!$B$3))))</f>
        <v>40715.007033469665</v>
      </c>
      <c r="AB8" s="59">
        <f t="shared" si="5"/>
        <v>40715.007033469665</v>
      </c>
      <c r="AC8" s="42"/>
      <c r="AD8" s="43">
        <f t="shared" si="6"/>
        <v>40715.007033469665</v>
      </c>
      <c r="AE8" s="75">
        <v>13100</v>
      </c>
      <c r="AF8" s="32"/>
      <c r="AG8" s="33"/>
      <c r="AH8" s="33"/>
      <c r="AI8" s="33"/>
      <c r="AJ8" s="5"/>
    </row>
    <row r="9" spans="1:36" s="89" customFormat="1" x14ac:dyDescent="0.3">
      <c r="A9" s="90" t="s">
        <v>186</v>
      </c>
      <c r="B9" s="78" t="s">
        <v>8</v>
      </c>
      <c r="C9" s="78" t="s">
        <v>185</v>
      </c>
      <c r="D9" s="79"/>
      <c r="E9" s="80">
        <f t="shared" si="0"/>
        <v>79380</v>
      </c>
      <c r="F9" s="80"/>
      <c r="G9" s="80">
        <v>92063</v>
      </c>
      <c r="H9" s="80">
        <v>109822</v>
      </c>
      <c r="I9" s="80">
        <v>128566</v>
      </c>
      <c r="J9" s="80">
        <v>12328</v>
      </c>
      <c r="K9" s="80">
        <v>500</v>
      </c>
      <c r="L9" s="80"/>
      <c r="M9" s="81">
        <f t="shared" si="1"/>
        <v>109872</v>
      </c>
      <c r="N9" s="81">
        <f t="shared" si="2"/>
        <v>129798.8</v>
      </c>
      <c r="O9" s="81">
        <f>SUM(M9*'Factors &amp; Percentages'!$E$6+N9*'Factors &amp; Percentages'!$E$7)</f>
        <v>16457.371629717993</v>
      </c>
      <c r="P9" s="82">
        <v>2</v>
      </c>
      <c r="Q9" s="81">
        <f>P9*'Factors &amp; Percentages'!$E$10</f>
        <v>21931.151582337487</v>
      </c>
      <c r="R9" s="83">
        <v>2368</v>
      </c>
      <c r="S9" s="81">
        <f>R9*'Factors &amp; Percentages'!$E$13</f>
        <v>4204.8114782103212</v>
      </c>
      <c r="T9" s="84">
        <f>30+26+15+25</f>
        <v>96</v>
      </c>
      <c r="U9" s="84">
        <v>172</v>
      </c>
      <c r="V9" s="84">
        <v>36051</v>
      </c>
      <c r="W9" s="81">
        <f>T9*'Factors &amp; Percentages'!$E$16+U9*'Factors &amp; Percentages'!$E$17+V9*'Factors &amp; Percentages'!$E$18</f>
        <v>20330.384382821012</v>
      </c>
      <c r="X9" s="113"/>
      <c r="Y9" s="81">
        <f t="shared" si="3"/>
        <v>62923.719073086817</v>
      </c>
      <c r="Z9" s="85">
        <f t="shared" si="4"/>
        <v>62923.719073086817</v>
      </c>
      <c r="AA9" s="80">
        <f>IF($AE9&gt;$Z9,$AE9*(1+'Factors &amp; Percentages'!$B$3),IF($Y9&gt;$Z9,$Z9,IF($Y9&gt;$AE9,$Y9,$AE9*(1+'Factors &amp; Percentages'!$B$3))))</f>
        <v>79380</v>
      </c>
      <c r="AB9" s="80">
        <f t="shared" si="5"/>
        <v>79380</v>
      </c>
      <c r="AC9" s="85"/>
      <c r="AD9" s="80">
        <f t="shared" si="6"/>
        <v>79380</v>
      </c>
      <c r="AE9" s="86">
        <v>75600</v>
      </c>
      <c r="AF9" s="87"/>
      <c r="AG9" s="88"/>
      <c r="AH9" s="88"/>
      <c r="AI9" s="88"/>
      <c r="AJ9" s="5"/>
    </row>
    <row r="10" spans="1:36" x14ac:dyDescent="0.3">
      <c r="A10" s="91" t="s">
        <v>44</v>
      </c>
      <c r="B10" s="76" t="s">
        <v>43</v>
      </c>
      <c r="C10" s="76" t="s">
        <v>42</v>
      </c>
      <c r="D10" s="31"/>
      <c r="E10" s="43">
        <f t="shared" si="0"/>
        <v>18983.25</v>
      </c>
      <c r="F10" s="29"/>
      <c r="G10" s="51">
        <v>24800</v>
      </c>
      <c r="H10" s="59">
        <v>29205</v>
      </c>
      <c r="I10" s="51">
        <v>16762</v>
      </c>
      <c r="J10" s="59">
        <v>18202</v>
      </c>
      <c r="K10" s="49">
        <v>3223</v>
      </c>
      <c r="L10" s="29"/>
      <c r="M10" s="62">
        <f t="shared" si="1"/>
        <v>29527.3</v>
      </c>
      <c r="N10" s="58">
        <f t="shared" si="2"/>
        <v>18582.2</v>
      </c>
      <c r="O10" s="46">
        <f>SUM(M10*'Factors &amp; Percentages'!$E$6+N10*'Factors &amp; Percentages'!$E$7)</f>
        <v>3468.4013445226519</v>
      </c>
      <c r="P10" s="65">
        <v>1</v>
      </c>
      <c r="Q10" s="46">
        <f>P10*'Factors &amp; Percentages'!$E$10</f>
        <v>10965.575791168743</v>
      </c>
      <c r="R10" s="69">
        <v>1414</v>
      </c>
      <c r="S10" s="46">
        <f>R10*'Factors &amp; Percentages'!$E$13</f>
        <v>2510.8122593705216</v>
      </c>
      <c r="T10" s="63">
        <v>20</v>
      </c>
      <c r="U10" s="64">
        <v>61</v>
      </c>
      <c r="V10" s="63">
        <v>13013</v>
      </c>
      <c r="W10" s="46">
        <f>T10*'Factors &amp; Percentages'!$E$16+U10*'Factors &amp; Percentages'!$E$17+V10*'Factors &amp; Percentages'!$E$18</f>
        <v>5641.0380303362308</v>
      </c>
      <c r="X10" s="114"/>
      <c r="Y10" s="58">
        <f t="shared" si="3"/>
        <v>22585.827425398151</v>
      </c>
      <c r="Z10" s="71">
        <f t="shared" si="4"/>
        <v>18983.25</v>
      </c>
      <c r="AA10" s="51">
        <f>IF($AE10&gt;$Z10,$AE10*(1+'Factors &amp; Percentages'!$B$3),IF($Y10&gt;$Z10,$Z10,IF($Y10&gt;$AE10,$Y10,$AE10*(1+'Factors &amp; Percentages'!$B$3))))</f>
        <v>18983.25</v>
      </c>
      <c r="AB10" s="59">
        <f t="shared" si="5"/>
        <v>18983.25</v>
      </c>
      <c r="AC10" s="42"/>
      <c r="AD10" s="43">
        <f t="shared" si="6"/>
        <v>18983.25</v>
      </c>
      <c r="AE10" s="75">
        <v>18000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7</v>
      </c>
      <c r="B11" s="78" t="s">
        <v>8</v>
      </c>
      <c r="C11" s="78" t="s">
        <v>8</v>
      </c>
      <c r="D11" s="79"/>
      <c r="E11" s="80">
        <f t="shared" si="0"/>
        <v>39103.050000000003</v>
      </c>
      <c r="F11" s="80"/>
      <c r="G11" s="80">
        <f>79776-19632</f>
        <v>60144</v>
      </c>
      <c r="H11" s="80">
        <v>60845</v>
      </c>
      <c r="I11" s="80">
        <v>106536</v>
      </c>
      <c r="J11" s="80">
        <v>91917</v>
      </c>
      <c r="K11" s="80">
        <v>10852</v>
      </c>
      <c r="L11" s="80"/>
      <c r="M11" s="81">
        <f t="shared" si="1"/>
        <v>61930.2</v>
      </c>
      <c r="N11" s="81">
        <f t="shared" si="2"/>
        <v>115727.7</v>
      </c>
      <c r="O11" s="81">
        <f>SUM(M11*'Factors &amp; Percentages'!$E$6+N11*'Factors &amp; Percentages'!$E$7)</f>
        <v>11768.582185570365</v>
      </c>
      <c r="P11" s="82">
        <v>1</v>
      </c>
      <c r="Q11" s="81">
        <f>P11*'Factors &amp; Percentages'!$E$10</f>
        <v>10965.575791168743</v>
      </c>
      <c r="R11" s="83">
        <v>848</v>
      </c>
      <c r="S11" s="81">
        <f>R11*'Factors &amp; Percentages'!$E$13</f>
        <v>1505.7770834131557</v>
      </c>
      <c r="T11" s="84">
        <v>45</v>
      </c>
      <c r="U11" s="84">
        <v>76</v>
      </c>
      <c r="V11" s="84">
        <f>19488/2</f>
        <v>9744</v>
      </c>
      <c r="W11" s="81">
        <f>T11*'Factors &amp; Percentages'!$E$16+U11*'Factors &amp; Percentages'!$E$17+V11*'Factors &amp; Percentages'!$E$18</f>
        <v>8206.35772182252</v>
      </c>
      <c r="X11" s="113"/>
      <c r="Y11" s="81">
        <f t="shared" si="3"/>
        <v>32446.292781974786</v>
      </c>
      <c r="Z11" s="85">
        <f t="shared" si="4"/>
        <v>32446.292781974786</v>
      </c>
      <c r="AA11" s="80">
        <f>IF($AE11&gt;$Z11,$AE11*(1+'Factors &amp; Percentages'!$B$3),IF($Y11&gt;$Z11,$Z11,IF($Y11&gt;$AE11,$Y11,$AE11*(1+'Factors &amp; Percentages'!$B$3))))</f>
        <v>39103.050000000003</v>
      </c>
      <c r="AB11" s="80">
        <f t="shared" si="5"/>
        <v>39103.050000000003</v>
      </c>
      <c r="AC11" s="85"/>
      <c r="AD11" s="80">
        <f t="shared" si="6"/>
        <v>39103.050000000003</v>
      </c>
      <c r="AE11" s="86">
        <v>37241</v>
      </c>
      <c r="AF11" s="87"/>
      <c r="AG11" s="88"/>
      <c r="AH11" s="88"/>
      <c r="AI11" s="88"/>
      <c r="AJ11" s="5"/>
    </row>
    <row r="12" spans="1:36" x14ac:dyDescent="0.3">
      <c r="A12" s="91" t="s">
        <v>202</v>
      </c>
      <c r="B12" s="76" t="s">
        <v>43</v>
      </c>
      <c r="C12" s="76" t="s">
        <v>201</v>
      </c>
      <c r="D12" s="31"/>
      <c r="E12" s="43">
        <f t="shared" si="0"/>
        <v>37099.279793634749</v>
      </c>
      <c r="F12" s="29"/>
      <c r="G12" s="51">
        <f>96539-22506</f>
        <v>74033</v>
      </c>
      <c r="H12" s="59">
        <v>91854</v>
      </c>
      <c r="I12" s="51">
        <v>40708</v>
      </c>
      <c r="J12" s="59">
        <v>36918</v>
      </c>
      <c r="K12" s="49">
        <v>5240</v>
      </c>
      <c r="L12" s="29"/>
      <c r="M12" s="62">
        <f t="shared" si="1"/>
        <v>92378</v>
      </c>
      <c r="N12" s="58">
        <f t="shared" si="2"/>
        <v>44399.8</v>
      </c>
      <c r="O12" s="46">
        <f>SUM(M12*'Factors &amp; Percentages'!$E$6+N12*'Factors &amp; Percentages'!$E$7)</f>
        <v>10046.867113561777</v>
      </c>
      <c r="P12" s="65">
        <v>1</v>
      </c>
      <c r="Q12" s="46">
        <f>P12*'Factors &amp; Percentages'!$E$10</f>
        <v>10965.575791168743</v>
      </c>
      <c r="R12" s="69">
        <v>3200</v>
      </c>
      <c r="S12" s="46">
        <f>R12*'Factors &amp; Percentages'!$E$13</f>
        <v>5682.1776732571916</v>
      </c>
      <c r="T12" s="63">
        <v>55</v>
      </c>
      <c r="U12" s="64">
        <v>130</v>
      </c>
      <c r="V12" s="63">
        <v>10230</v>
      </c>
      <c r="W12" s="46">
        <f>T12*'Factors &amp; Percentages'!$E$16+U12*'Factors &amp; Percentages'!$E$17+V12*'Factors &amp; Percentages'!$E$18</f>
        <v>10404.659215647034</v>
      </c>
      <c r="X12" s="114"/>
      <c r="Y12" s="58">
        <f t="shared" si="3"/>
        <v>37099.279793634749</v>
      </c>
      <c r="Z12" s="71">
        <f t="shared" si="4"/>
        <v>37099.279793634749</v>
      </c>
      <c r="AA12" s="51">
        <f>IF($AE12&gt;$Z12,$AE12*(1+'Factors &amp; Percentages'!$B$3),IF($Y12&gt;$Z12,$Z12,IF($Y12&gt;$AE12,$Y12,$AE12*(1+'Factors &amp; Percentages'!$B$3))))</f>
        <v>37099.279793634749</v>
      </c>
      <c r="AB12" s="59">
        <f t="shared" si="5"/>
        <v>37099.279793634749</v>
      </c>
      <c r="AC12" s="42"/>
      <c r="AD12" s="43">
        <f t="shared" si="6"/>
        <v>37099.279793634749</v>
      </c>
      <c r="AE12" s="75">
        <v>25000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203</v>
      </c>
      <c r="B13" s="78" t="s">
        <v>43</v>
      </c>
      <c r="C13" s="78" t="s">
        <v>201</v>
      </c>
      <c r="D13" s="79"/>
      <c r="E13" s="80">
        <f t="shared" si="0"/>
        <v>20088.361778147435</v>
      </c>
      <c r="F13" s="80"/>
      <c r="G13" s="80">
        <v>37377</v>
      </c>
      <c r="H13" s="80">
        <v>37377</v>
      </c>
      <c r="I13" s="80">
        <v>42712</v>
      </c>
      <c r="J13" s="80">
        <v>0</v>
      </c>
      <c r="K13" s="80">
        <v>0</v>
      </c>
      <c r="L13" s="80"/>
      <c r="M13" s="81">
        <f t="shared" si="1"/>
        <v>37377</v>
      </c>
      <c r="N13" s="81">
        <f t="shared" si="2"/>
        <v>42712</v>
      </c>
      <c r="O13" s="81">
        <f>SUM(M13*'Factors &amp; Percentages'!$E$6+N13*'Factors &amp; Percentages'!$E$7)</f>
        <v>5514.0421123424603</v>
      </c>
      <c r="P13" s="82">
        <v>0.5</v>
      </c>
      <c r="Q13" s="81">
        <f>P13*'Factors &amp; Percentages'!$E$10</f>
        <v>5482.7878955843717</v>
      </c>
      <c r="R13" s="83">
        <v>982</v>
      </c>
      <c r="S13" s="81">
        <f>R13*'Factors &amp; Percentages'!$E$13</f>
        <v>1743.7182734808005</v>
      </c>
      <c r="T13" s="84">
        <v>45</v>
      </c>
      <c r="U13" s="84">
        <v>89</v>
      </c>
      <c r="V13" s="84">
        <v>3447</v>
      </c>
      <c r="W13" s="81">
        <f>T13*'Factors &amp; Percentages'!$E$16+U13*'Factors &amp; Percentages'!$E$17+V13*'Factors &amp; Percentages'!$E$18</f>
        <v>7347.8134967398018</v>
      </c>
      <c r="X13" s="113"/>
      <c r="Y13" s="81">
        <f t="shared" si="3"/>
        <v>20088.361778147435</v>
      </c>
      <c r="Z13" s="85">
        <f t="shared" si="4"/>
        <v>20088.361778147435</v>
      </c>
      <c r="AA13" s="80">
        <f>IF($AE13&gt;$Z13,$AE13*(1+'Factors &amp; Percentages'!$B$3),IF($Y13&gt;$Z13,$Z13,IF($Y13&gt;$AE13,$Y13,$AE13*(1+'Factors &amp; Percentages'!$B$3))))</f>
        <v>20088.361778147435</v>
      </c>
      <c r="AB13" s="80">
        <f t="shared" si="5"/>
        <v>20088.361778147435</v>
      </c>
      <c r="AC13" s="85"/>
      <c r="AD13" s="80">
        <f t="shared" si="6"/>
        <v>20088.361778147435</v>
      </c>
      <c r="AE13" s="86">
        <v>2500</v>
      </c>
      <c r="AF13" s="87"/>
      <c r="AG13" s="88"/>
      <c r="AH13" s="88"/>
      <c r="AI13" s="88"/>
      <c r="AJ13" s="5"/>
    </row>
    <row r="14" spans="1:36" x14ac:dyDescent="0.3">
      <c r="A14" s="91" t="s">
        <v>204</v>
      </c>
      <c r="B14" s="76" t="s">
        <v>43</v>
      </c>
      <c r="C14" s="76" t="s">
        <v>201</v>
      </c>
      <c r="D14" s="31"/>
      <c r="E14" s="43">
        <f t="shared" si="0"/>
        <v>35516.12650780251</v>
      </c>
      <c r="F14" s="29"/>
      <c r="G14" s="51">
        <v>33780</v>
      </c>
      <c r="H14" s="59">
        <v>46747</v>
      </c>
      <c r="I14" s="51">
        <v>71444</v>
      </c>
      <c r="J14" s="59">
        <v>2763</v>
      </c>
      <c r="K14" s="49">
        <v>565</v>
      </c>
      <c r="L14" s="29"/>
      <c r="M14" s="62">
        <f t="shared" si="1"/>
        <v>46803.5</v>
      </c>
      <c r="N14" s="58">
        <f t="shared" si="2"/>
        <v>71720.3</v>
      </c>
      <c r="O14" s="46">
        <f>SUM(M14*'Factors &amp; Percentages'!$E$6+N14*'Factors &amp; Percentages'!$E$7)</f>
        <v>7972.440333033549</v>
      </c>
      <c r="P14" s="65">
        <v>1</v>
      </c>
      <c r="Q14" s="46">
        <f>P14*'Factors &amp; Percentages'!$E$10</f>
        <v>10965.575791168743</v>
      </c>
      <c r="R14" s="69">
        <v>4300</v>
      </c>
      <c r="S14" s="46">
        <f>R14*'Factors &amp; Percentages'!$E$13</f>
        <v>7635.4262484393503</v>
      </c>
      <c r="T14" s="63">
        <v>40</v>
      </c>
      <c r="U14" s="64">
        <v>108</v>
      </c>
      <c r="V14" s="63">
        <v>13982</v>
      </c>
      <c r="W14" s="46">
        <f>T14*'Factors &amp; Percentages'!$E$16+U14*'Factors &amp; Percentages'!$E$17+V14*'Factors &amp; Percentages'!$E$18</f>
        <v>8942.6841351608673</v>
      </c>
      <c r="X14" s="114"/>
      <c r="Y14" s="58">
        <f t="shared" si="3"/>
        <v>35516.12650780251</v>
      </c>
      <c r="Z14" s="71">
        <f t="shared" si="4"/>
        <v>35516.12650780251</v>
      </c>
      <c r="AA14" s="51">
        <f>IF($AE14&gt;$Z14,$AE14*(1+'Factors &amp; Percentages'!$B$3),IF($Y14&gt;$Z14,$Z14,IF($Y14&gt;$AE14,$Y14,$AE14*(1+'Factors &amp; Percentages'!$B$3))))</f>
        <v>35516.12650780251</v>
      </c>
      <c r="AB14" s="59">
        <f t="shared" si="5"/>
        <v>35516.12650780251</v>
      </c>
      <c r="AC14" s="42"/>
      <c r="AD14" s="43">
        <f t="shared" si="6"/>
        <v>35516.12650780251</v>
      </c>
      <c r="AE14" s="75">
        <v>16000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205</v>
      </c>
      <c r="B15" s="78" t="s">
        <v>43</v>
      </c>
      <c r="C15" s="78" t="s">
        <v>201</v>
      </c>
      <c r="D15" s="79"/>
      <c r="E15" s="80">
        <f t="shared" si="0"/>
        <v>10808.2</v>
      </c>
      <c r="F15" s="80"/>
      <c r="G15" s="80">
        <v>15423</v>
      </c>
      <c r="H15" s="80">
        <v>16628</v>
      </c>
      <c r="I15" s="80">
        <v>8182</v>
      </c>
      <c r="J15" s="80">
        <v>30314</v>
      </c>
      <c r="K15" s="80">
        <v>11103</v>
      </c>
      <c r="L15" s="80"/>
      <c r="M15" s="81">
        <f t="shared" si="1"/>
        <v>17738.3</v>
      </c>
      <c r="N15" s="81">
        <f t="shared" si="2"/>
        <v>11213.4</v>
      </c>
      <c r="O15" s="81">
        <f>SUM(M15*'Factors &amp; Percentages'!$E$6+N15*'Factors &amp; Percentages'!$E$7)</f>
        <v>2086.5598727622746</v>
      </c>
      <c r="P15" s="82">
        <v>0.5</v>
      </c>
      <c r="Q15" s="81">
        <f>P15*'Factors &amp; Percentages'!$E$10</f>
        <v>5482.7878955843717</v>
      </c>
      <c r="R15" s="83">
        <v>270</v>
      </c>
      <c r="S15" s="81">
        <f>R15*'Factors &amp; Percentages'!$E$13</f>
        <v>479.4337411810755</v>
      </c>
      <c r="T15" s="84">
        <v>35</v>
      </c>
      <c r="U15" s="84">
        <v>31</v>
      </c>
      <c r="V15" s="84">
        <v>5619</v>
      </c>
      <c r="W15" s="81">
        <f>T15*'Factors &amp; Percentages'!$E$16+U15*'Factors &amp; Percentages'!$E$17+V15*'Factors &amp; Percentages'!$E$18</f>
        <v>5538.5943347328202</v>
      </c>
      <c r="X15" s="113"/>
      <c r="Y15" s="81">
        <f t="shared" si="3"/>
        <v>13587.375844260543</v>
      </c>
      <c r="Z15" s="85">
        <f t="shared" si="4"/>
        <v>10808.2</v>
      </c>
      <c r="AA15" s="80">
        <f>IF($AE15&gt;$Z15,$AE15*(1+'Factors &amp; Percentages'!$B$3),IF($Y15&gt;$Z15,$Z15,IF($Y15&gt;$AE15,$Y15,$AE15*(1+'Factors &amp; Percentages'!$B$3))))</f>
        <v>10808.2</v>
      </c>
      <c r="AB15" s="80">
        <f t="shared" si="5"/>
        <v>10808.2</v>
      </c>
      <c r="AC15" s="85"/>
      <c r="AD15" s="80">
        <f t="shared" si="6"/>
        <v>10808.2</v>
      </c>
      <c r="AE15" s="86">
        <v>5750</v>
      </c>
      <c r="AF15" s="87"/>
      <c r="AG15" s="88"/>
      <c r="AH15" s="88"/>
      <c r="AI15" s="88"/>
      <c r="AJ15" s="5"/>
    </row>
    <row r="16" spans="1:36" x14ac:dyDescent="0.3">
      <c r="A16" s="91" t="s">
        <v>243</v>
      </c>
      <c r="B16" s="76" t="s">
        <v>43</v>
      </c>
      <c r="C16" s="76" t="s">
        <v>99</v>
      </c>
      <c r="D16" s="31"/>
      <c r="E16" s="43">
        <f t="shared" si="0"/>
        <v>19005</v>
      </c>
      <c r="F16" s="29"/>
      <c r="G16" s="51">
        <v>23182</v>
      </c>
      <c r="H16" s="59">
        <v>39985</v>
      </c>
      <c r="I16" s="51">
        <v>30400</v>
      </c>
      <c r="J16" s="59">
        <v>12787</v>
      </c>
      <c r="K16" s="49">
        <v>0</v>
      </c>
      <c r="L16" s="29"/>
      <c r="M16" s="62">
        <f t="shared" si="1"/>
        <v>39985</v>
      </c>
      <c r="N16" s="58">
        <f t="shared" si="2"/>
        <v>31678.7</v>
      </c>
      <c r="O16" s="46">
        <f>SUM(M16*'Factors &amp; Percentages'!$E$6+N16*'Factors &amp; Percentages'!$E$7)</f>
        <v>5078.2801455766312</v>
      </c>
      <c r="P16" s="70">
        <v>0.515625</v>
      </c>
      <c r="Q16" s="46">
        <f>P16*'Factors &amp; Percentages'!$E$10</f>
        <v>5654.125017321383</v>
      </c>
      <c r="R16" s="69">
        <v>575</v>
      </c>
      <c r="S16" s="46">
        <f>R16*'Factors &amp; Percentages'!$E$13</f>
        <v>1021.0163006634016</v>
      </c>
      <c r="T16" s="63">
        <v>23</v>
      </c>
      <c r="U16" s="64">
        <v>51</v>
      </c>
      <c r="V16" s="63">
        <v>6206</v>
      </c>
      <c r="W16" s="46">
        <f>T16*'Factors &amp; Percentages'!$E$16+U16*'Factors &amp; Percentages'!$E$17+V16*'Factors &amp; Percentages'!$E$18</f>
        <v>4624.9703399588871</v>
      </c>
      <c r="X16" s="114"/>
      <c r="Y16" s="58">
        <f t="shared" si="3"/>
        <v>16378.391803520302</v>
      </c>
      <c r="Z16" s="71">
        <f t="shared" si="4"/>
        <v>16378.391803520302</v>
      </c>
      <c r="AA16" s="51">
        <f>IF($AE16&gt;$Z16,$AE16*(1+'Factors &amp; Percentages'!$B$3),IF($Y16&gt;$Z16,$Z16,IF($Y16&gt;$AE16,$Y16,$AE16*(1+'Factors &amp; Percentages'!$B$3))))</f>
        <v>19005</v>
      </c>
      <c r="AB16" s="59">
        <f t="shared" si="5"/>
        <v>19005</v>
      </c>
      <c r="AC16" s="42"/>
      <c r="AD16" s="43">
        <f t="shared" si="6"/>
        <v>19005</v>
      </c>
      <c r="AE16" s="75">
        <v>18100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60</v>
      </c>
      <c r="B17" s="78" t="s">
        <v>8</v>
      </c>
      <c r="C17" s="78" t="s">
        <v>59</v>
      </c>
      <c r="D17" s="79"/>
      <c r="E17" s="80">
        <f t="shared" si="0"/>
        <v>63000</v>
      </c>
      <c r="F17" s="80"/>
      <c r="G17" s="80">
        <f>133302-35000</f>
        <v>98302</v>
      </c>
      <c r="H17" s="80">
        <v>122932</v>
      </c>
      <c r="I17" s="80">
        <v>81920</v>
      </c>
      <c r="J17" s="80">
        <v>54720</v>
      </c>
      <c r="K17" s="80">
        <v>55473</v>
      </c>
      <c r="L17" s="80"/>
      <c r="M17" s="81">
        <f t="shared" si="1"/>
        <v>128479.3</v>
      </c>
      <c r="N17" s="81">
        <f t="shared" si="2"/>
        <v>87392</v>
      </c>
      <c r="O17" s="81">
        <f>SUM(M17*'Factors &amp; Percentages'!$E$6+N17*'Factors &amp; Percentages'!$E$7)</f>
        <v>15474.472403060172</v>
      </c>
      <c r="P17" s="82">
        <v>0.9</v>
      </c>
      <c r="Q17" s="81">
        <f>P17*'Factors &amp; Percentages'!$E$10</f>
        <v>9869.0182120518693</v>
      </c>
      <c r="R17" s="83">
        <v>10466</v>
      </c>
      <c r="S17" s="81">
        <f>R17*'Factors &amp; Percentages'!$E$13</f>
        <v>18584.272352596799</v>
      </c>
      <c r="T17" s="84">
        <f>55+40</f>
        <v>95</v>
      </c>
      <c r="U17" s="84">
        <v>193</v>
      </c>
      <c r="V17" s="84">
        <v>7217</v>
      </c>
      <c r="W17" s="81">
        <f>T17*'Factors &amp; Percentages'!$E$16+U17*'Factors &amp; Percentages'!$E$17+V17*'Factors &amp; Percentages'!$E$18</f>
        <v>15593.349249557154</v>
      </c>
      <c r="X17" s="113"/>
      <c r="Y17" s="81">
        <f t="shared" si="3"/>
        <v>59521.112217265996</v>
      </c>
      <c r="Z17" s="85">
        <f t="shared" si="4"/>
        <v>59521.112217265996</v>
      </c>
      <c r="AA17" s="80">
        <f>IF($AE17&gt;$Z17,$AE17*(1+'Factors &amp; Percentages'!$B$3),IF($Y17&gt;$Z17,$Z17,IF($Y17&gt;$AE17,$Y17,$AE17*(1+'Factors &amp; Percentages'!$B$3))))</f>
        <v>63000</v>
      </c>
      <c r="AB17" s="80">
        <f t="shared" si="5"/>
        <v>63000</v>
      </c>
      <c r="AC17" s="85"/>
      <c r="AD17" s="80">
        <f t="shared" si="6"/>
        <v>63000</v>
      </c>
      <c r="AE17" s="86">
        <v>60000</v>
      </c>
      <c r="AF17" s="87"/>
      <c r="AG17" s="88"/>
      <c r="AH17" s="88"/>
      <c r="AI17" s="88"/>
      <c r="AJ17" s="5"/>
    </row>
    <row r="18" spans="1:36" x14ac:dyDescent="0.3">
      <c r="A18" s="91" t="s">
        <v>237</v>
      </c>
      <c r="B18" s="76" t="s">
        <v>43</v>
      </c>
      <c r="C18" s="76" t="s">
        <v>123</v>
      </c>
      <c r="D18" s="31"/>
      <c r="E18" s="43">
        <f t="shared" si="0"/>
        <v>29315.796919081695</v>
      </c>
      <c r="F18" s="29"/>
      <c r="G18" s="51">
        <f>24993-540</f>
        <v>24453</v>
      </c>
      <c r="H18" s="59">
        <v>46681</v>
      </c>
      <c r="I18" s="51">
        <v>97597</v>
      </c>
      <c r="J18" s="59">
        <v>3237</v>
      </c>
      <c r="K18" s="49">
        <v>4251</v>
      </c>
      <c r="L18" s="29"/>
      <c r="M18" s="62">
        <f t="shared" si="1"/>
        <v>47106.1</v>
      </c>
      <c r="N18" s="58">
        <f t="shared" si="2"/>
        <v>97920.7</v>
      </c>
      <c r="O18" s="46">
        <f>SUM(M18*'Factors &amp; Percentages'!$E$6+N18*'Factors &amp; Percentages'!$E$7)</f>
        <v>9530.8939694966321</v>
      </c>
      <c r="P18" s="65">
        <v>0.5</v>
      </c>
      <c r="Q18" s="46">
        <f>P18*'Factors &amp; Percentages'!$E$10</f>
        <v>5482.7878955843717</v>
      </c>
      <c r="R18" s="69">
        <v>5268</v>
      </c>
      <c r="S18" s="46">
        <f>R18*'Factors &amp; Percentages'!$E$13</f>
        <v>9354.2849945996513</v>
      </c>
      <c r="T18" s="63">
        <v>27</v>
      </c>
      <c r="U18" s="64">
        <v>45</v>
      </c>
      <c r="V18" s="63">
        <v>6047</v>
      </c>
      <c r="W18" s="46">
        <f>T18*'Factors &amp; Percentages'!$E$16+U18*'Factors &amp; Percentages'!$E$17+V18*'Factors &amp; Percentages'!$E$18</f>
        <v>4947.8300594010398</v>
      </c>
      <c r="X18" s="114"/>
      <c r="Y18" s="58">
        <f t="shared" si="3"/>
        <v>29315.796919081695</v>
      </c>
      <c r="Z18" s="71">
        <f t="shared" si="4"/>
        <v>29315.796919081695</v>
      </c>
      <c r="AA18" s="51">
        <f>IF($AE18&gt;$Z18,$AE18*(1+'Factors &amp; Percentages'!$B$3),IF($Y18&gt;$Z18,$Z18,IF($Y18&gt;$AE18,$Y18,$AE18*(1+'Factors &amp; Percentages'!$B$3))))</f>
        <v>29315.796919081695</v>
      </c>
      <c r="AB18" s="59">
        <f t="shared" si="5"/>
        <v>29315.796919081695</v>
      </c>
      <c r="AC18" s="42"/>
      <c r="AD18" s="43">
        <f t="shared" si="6"/>
        <v>29315.796919081695</v>
      </c>
      <c r="AE18" s="75">
        <v>11160</v>
      </c>
      <c r="AF18" s="32"/>
      <c r="AG18" s="33"/>
      <c r="AH18" s="33"/>
      <c r="AI18" s="33"/>
      <c r="AJ18" s="5"/>
    </row>
    <row r="19" spans="1:36" s="89" customFormat="1" x14ac:dyDescent="0.3">
      <c r="A19" s="90" t="s">
        <v>146</v>
      </c>
      <c r="B19" s="78" t="s">
        <v>43</v>
      </c>
      <c r="C19" s="78" t="s">
        <v>145</v>
      </c>
      <c r="D19" s="79"/>
      <c r="E19" s="80">
        <f t="shared" si="0"/>
        <v>17152.846654888886</v>
      </c>
      <c r="F19" s="80"/>
      <c r="G19" s="80">
        <v>21710</v>
      </c>
      <c r="H19" s="80">
        <v>28888</v>
      </c>
      <c r="I19" s="80">
        <v>22896</v>
      </c>
      <c r="J19" s="80">
        <v>0</v>
      </c>
      <c r="K19" s="80">
        <v>0</v>
      </c>
      <c r="L19" s="80"/>
      <c r="M19" s="81">
        <f t="shared" si="1"/>
        <v>28888</v>
      </c>
      <c r="N19" s="81">
        <f t="shared" si="2"/>
        <v>22896</v>
      </c>
      <c r="O19" s="81">
        <f>SUM(M19*'Factors &amp; Percentages'!$E$6+N19*'Factors &amp; Percentages'!$E$7)</f>
        <v>3669.4402492255258</v>
      </c>
      <c r="P19" s="82">
        <v>0.33</v>
      </c>
      <c r="Q19" s="81">
        <f>P19*'Factors &amp; Percentages'!$E$10</f>
        <v>3618.6400110856853</v>
      </c>
      <c r="R19" s="83">
        <v>3051</v>
      </c>
      <c r="S19" s="81">
        <f>R19*'Factors &amp; Percentages'!$E$13</f>
        <v>5417.6012753461537</v>
      </c>
      <c r="T19" s="84">
        <v>25</v>
      </c>
      <c r="U19" s="84">
        <v>52</v>
      </c>
      <c r="V19" s="84">
        <v>3756</v>
      </c>
      <c r="W19" s="81">
        <f>T19*'Factors &amp; Percentages'!$E$16+U19*'Factors &amp; Percentages'!$E$17+V19*'Factors &amp; Percentages'!$E$18</f>
        <v>4447.1651192315212</v>
      </c>
      <c r="X19" s="113"/>
      <c r="Y19" s="81">
        <f t="shared" si="3"/>
        <v>17152.846654888886</v>
      </c>
      <c r="Z19" s="85">
        <f t="shared" si="4"/>
        <v>17152.846654888886</v>
      </c>
      <c r="AA19" s="80">
        <f>IF($AE19&gt;$Z19,$AE19*(1+'Factors &amp; Percentages'!$B$3),IF($Y19&gt;$Z19,$Z19,IF($Y19&gt;$AE19,$Y19,$AE19*(1+'Factors &amp; Percentages'!$B$3))))</f>
        <v>17152.846654888886</v>
      </c>
      <c r="AB19" s="80">
        <f t="shared" si="5"/>
        <v>17152.846654888886</v>
      </c>
      <c r="AC19" s="85"/>
      <c r="AD19" s="80">
        <f t="shared" si="6"/>
        <v>17152.846654888886</v>
      </c>
      <c r="AE19" s="86">
        <v>12000</v>
      </c>
      <c r="AF19" s="87"/>
      <c r="AG19" s="88"/>
      <c r="AH19" s="88"/>
      <c r="AI19" s="88"/>
      <c r="AJ19" s="5"/>
    </row>
    <row r="20" spans="1:36" x14ac:dyDescent="0.3">
      <c r="A20" s="91" t="s">
        <v>239</v>
      </c>
      <c r="B20" s="76" t="s">
        <v>8</v>
      </c>
      <c r="C20" s="76" t="s">
        <v>8</v>
      </c>
      <c r="D20" s="31"/>
      <c r="E20" s="43">
        <f t="shared" si="0"/>
        <v>18586.268455034449</v>
      </c>
      <c r="F20" s="29"/>
      <c r="G20" s="51">
        <v>26899</v>
      </c>
      <c r="H20" s="59">
        <v>29925</v>
      </c>
      <c r="I20" s="51">
        <v>27424</v>
      </c>
      <c r="J20" s="59">
        <v>2000</v>
      </c>
      <c r="K20" s="49">
        <v>0</v>
      </c>
      <c r="L20" s="29"/>
      <c r="M20" s="62">
        <f t="shared" si="1"/>
        <v>29925</v>
      </c>
      <c r="N20" s="58">
        <f t="shared" si="2"/>
        <v>27624</v>
      </c>
      <c r="O20" s="46">
        <f>SUM(M20*'Factors &amp; Percentages'!$E$6+N20*'Factors &amp; Percentages'!$E$7)</f>
        <v>4029.8688506739795</v>
      </c>
      <c r="P20" s="65">
        <v>0.5</v>
      </c>
      <c r="Q20" s="46">
        <f>P20*'Factors &amp; Percentages'!$E$10</f>
        <v>5482.7878955843717</v>
      </c>
      <c r="R20" s="69">
        <v>2417</v>
      </c>
      <c r="S20" s="46">
        <f>R20*'Factors &amp; Percentages'!$E$13</f>
        <v>4291.819823832072</v>
      </c>
      <c r="T20" s="63">
        <v>25</v>
      </c>
      <c r="U20" s="64">
        <v>52</v>
      </c>
      <c r="V20" s="63">
        <v>5686</v>
      </c>
      <c r="W20" s="46">
        <f>T20*'Factors &amp; Percentages'!$E$16+U20*'Factors &amp; Percentages'!$E$17+V20*'Factors &amp; Percentages'!$E$18</f>
        <v>4781.7918849440248</v>
      </c>
      <c r="X20" s="114"/>
      <c r="Y20" s="58">
        <f t="shared" si="3"/>
        <v>18586.268455034449</v>
      </c>
      <c r="Z20" s="71">
        <f t="shared" si="4"/>
        <v>18586.268455034449</v>
      </c>
      <c r="AA20" s="51">
        <f>IF($AE20&gt;$Z20,$AE20*(1+'Factors &amp; Percentages'!$B$3),IF($Y20&gt;$Z20,$Z20,IF($Y20&gt;$AE20,$Y20,$AE20*(1+'Factors &amp; Percentages'!$B$3))))</f>
        <v>18586.268455034449</v>
      </c>
      <c r="AB20" s="59">
        <f t="shared" si="5"/>
        <v>18586.268455034449</v>
      </c>
      <c r="AC20" s="42"/>
      <c r="AD20" s="43">
        <f t="shared" si="6"/>
        <v>18586.268455034449</v>
      </c>
      <c r="AE20" s="75">
        <v>15500</v>
      </c>
      <c r="AF20" s="32"/>
      <c r="AG20" s="33"/>
      <c r="AH20" s="33"/>
      <c r="AI20" s="33"/>
      <c r="AJ20" s="5"/>
    </row>
    <row r="21" spans="1:36" s="89" customFormat="1" x14ac:dyDescent="0.3">
      <c r="A21" s="90" t="s">
        <v>78</v>
      </c>
      <c r="B21" s="78" t="s">
        <v>75</v>
      </c>
      <c r="C21" s="78" t="s">
        <v>75</v>
      </c>
      <c r="D21" s="79"/>
      <c r="E21" s="80">
        <f t="shared" si="0"/>
        <v>35571.200000000004</v>
      </c>
      <c r="F21" s="80"/>
      <c r="G21" s="80">
        <f>57844-2152</f>
        <v>55692</v>
      </c>
      <c r="H21" s="80">
        <v>58072</v>
      </c>
      <c r="I21" s="80">
        <v>30765</v>
      </c>
      <c r="J21" s="80">
        <v>0</v>
      </c>
      <c r="K21" s="80">
        <v>4361</v>
      </c>
      <c r="L21" s="80"/>
      <c r="M21" s="81">
        <f t="shared" si="1"/>
        <v>58508.1</v>
      </c>
      <c r="N21" s="81">
        <f t="shared" si="2"/>
        <v>30765</v>
      </c>
      <c r="O21" s="81">
        <f>SUM(M21*'Factors &amp; Percentages'!$E$6+N21*'Factors &amp; Percentages'!$E$7)</f>
        <v>6518.0545085260692</v>
      </c>
      <c r="P21" s="82">
        <v>0.2</v>
      </c>
      <c r="Q21" s="81">
        <f>P21*'Factors &amp; Percentages'!$E$10</f>
        <v>2193.1151582337488</v>
      </c>
      <c r="R21" s="83">
        <v>5201</v>
      </c>
      <c r="S21" s="81">
        <f>R21*'Factors &amp; Percentages'!$E$13</f>
        <v>9235.3143995658284</v>
      </c>
      <c r="T21" s="84">
        <v>46</v>
      </c>
      <c r="U21" s="84">
        <v>99</v>
      </c>
      <c r="V21" s="84">
        <v>471</v>
      </c>
      <c r="W21" s="81">
        <f>T21*'Factors &amp; Percentages'!$E$16+U21*'Factors &amp; Percentages'!$E$17+V21*'Factors &amp; Percentages'!$E$18</f>
        <v>7125.7645185110396</v>
      </c>
      <c r="X21" s="113"/>
      <c r="Y21" s="81">
        <f t="shared" si="3"/>
        <v>25072.248584836685</v>
      </c>
      <c r="Z21" s="85">
        <f t="shared" si="4"/>
        <v>25072.248584836685</v>
      </c>
      <c r="AA21" s="80">
        <f>IF($AE21&gt;$Z21,$AE21*(1+'Factors &amp; Percentages'!$B$3),IF($Y21&gt;$Z21,$Z21,IF($Y21&gt;$AE21,$Y21,$AE21*(1+'Factors &amp; Percentages'!$B$3))))</f>
        <v>38010</v>
      </c>
      <c r="AB21" s="80">
        <f t="shared" si="5"/>
        <v>35571.200000000004</v>
      </c>
      <c r="AC21" s="85"/>
      <c r="AD21" s="80">
        <f t="shared" si="6"/>
        <v>35571.200000000004</v>
      </c>
      <c r="AE21" s="86">
        <v>36200</v>
      </c>
      <c r="AF21" s="87"/>
      <c r="AG21" s="88"/>
      <c r="AH21" s="88"/>
      <c r="AI21" s="88"/>
      <c r="AJ21" s="5"/>
    </row>
    <row r="22" spans="1:36" x14ac:dyDescent="0.3">
      <c r="A22" s="91" t="s">
        <v>79</v>
      </c>
      <c r="B22" s="76" t="s">
        <v>75</v>
      </c>
      <c r="C22" s="76" t="s">
        <v>75</v>
      </c>
      <c r="D22" s="31"/>
      <c r="E22" s="43">
        <f t="shared" si="0"/>
        <v>16979.700814458738</v>
      </c>
      <c r="F22" s="29"/>
      <c r="G22" s="51">
        <f>17481+6372</f>
        <v>23853</v>
      </c>
      <c r="H22" s="59">
        <v>23658</v>
      </c>
      <c r="I22" s="51">
        <v>25333</v>
      </c>
      <c r="J22" s="59">
        <v>18858</v>
      </c>
      <c r="K22" s="49">
        <v>302</v>
      </c>
      <c r="L22" s="29"/>
      <c r="M22" s="62">
        <f t="shared" si="1"/>
        <v>23688.2</v>
      </c>
      <c r="N22" s="58">
        <f t="shared" si="2"/>
        <v>27218.799999999999</v>
      </c>
      <c r="O22" s="46">
        <f>SUM(M22*'Factors &amp; Percentages'!$E$6+N22*'Factors &amp; Percentages'!$E$7)</f>
        <v>3503.353358306058</v>
      </c>
      <c r="P22" s="65">
        <v>0.33</v>
      </c>
      <c r="Q22" s="46">
        <f>P22*'Factors &amp; Percentages'!$E$10</f>
        <v>3618.6400110856853</v>
      </c>
      <c r="R22" s="69">
        <v>2171</v>
      </c>
      <c r="S22" s="46">
        <f>R22*'Factors &amp; Percentages'!$E$13</f>
        <v>3855.0024152004257</v>
      </c>
      <c r="T22" s="63">
        <v>25</v>
      </c>
      <c r="U22" s="64">
        <v>64</v>
      </c>
      <c r="V22" s="63">
        <v>11486</v>
      </c>
      <c r="W22" s="46">
        <f>T22*'Factors &amp; Percentages'!$E$16+U22*'Factors &amp; Percentages'!$E$17+V22*'Factors &amp; Percentages'!$E$18</f>
        <v>6002.7050298665672</v>
      </c>
      <c r="X22" s="114"/>
      <c r="Y22" s="58">
        <f t="shared" si="3"/>
        <v>16979.700814458738</v>
      </c>
      <c r="Z22" s="71">
        <f t="shared" si="4"/>
        <v>16979.700814458738</v>
      </c>
      <c r="AA22" s="51">
        <f>IF($AE22&gt;$Z22,$AE22*(1+'Factors &amp; Percentages'!$B$3),IF($Y22&gt;$Z22,$Z22,IF($Y22&gt;$AE22,$Y22,$AE22*(1+'Factors &amp; Percentages'!$B$3))))</f>
        <v>16979.700814458738</v>
      </c>
      <c r="AB22" s="59">
        <f t="shared" si="5"/>
        <v>16979.700814458738</v>
      </c>
      <c r="AC22" s="42"/>
      <c r="AD22" s="43">
        <f t="shared" si="6"/>
        <v>16979.700814458738</v>
      </c>
      <c r="AE22" s="75">
        <v>8820</v>
      </c>
      <c r="AF22" s="32"/>
      <c r="AG22" s="33"/>
      <c r="AH22" s="33"/>
      <c r="AI22" s="33"/>
      <c r="AJ22" s="5"/>
    </row>
    <row r="23" spans="1:36" s="89" customFormat="1" x14ac:dyDescent="0.3">
      <c r="A23" s="90" t="s">
        <v>45</v>
      </c>
      <c r="B23" s="78" t="s">
        <v>43</v>
      </c>
      <c r="C23" s="78" t="s">
        <v>42</v>
      </c>
      <c r="D23" s="79"/>
      <c r="E23" s="80">
        <f t="shared" si="0"/>
        <v>20062.242405712663</v>
      </c>
      <c r="F23" s="80"/>
      <c r="G23" s="80">
        <v>37204</v>
      </c>
      <c r="H23" s="80">
        <v>45602</v>
      </c>
      <c r="I23" s="80">
        <v>17849</v>
      </c>
      <c r="J23" s="80">
        <v>2380</v>
      </c>
      <c r="K23" s="80">
        <v>365</v>
      </c>
      <c r="L23" s="80"/>
      <c r="M23" s="81">
        <f t="shared" si="1"/>
        <v>45638.5</v>
      </c>
      <c r="N23" s="81">
        <f t="shared" si="2"/>
        <v>18087</v>
      </c>
      <c r="O23" s="81">
        <f>SUM(M23*'Factors &amp; Percentages'!$E$6+N23*'Factors &amp; Percentages'!$E$7)</f>
        <v>4738.239716869828</v>
      </c>
      <c r="P23" s="82">
        <v>0.33</v>
      </c>
      <c r="Q23" s="81">
        <f>P23*'Factors &amp; Percentages'!$E$10</f>
        <v>3618.6400110856853</v>
      </c>
      <c r="R23" s="83">
        <v>3815</v>
      </c>
      <c r="S23" s="81">
        <f>R23*'Factors &amp; Percentages'!$E$13</f>
        <v>6774.2211948363074</v>
      </c>
      <c r="T23" s="84">
        <v>28</v>
      </c>
      <c r="U23" s="84">
        <v>58</v>
      </c>
      <c r="V23" s="84">
        <v>3945</v>
      </c>
      <c r="W23" s="81">
        <f>T23*'Factors &amp; Percentages'!$E$16+U23*'Factors &amp; Percentages'!$E$17+V23*'Factors &amp; Percentages'!$E$18</f>
        <v>4931.1414829208406</v>
      </c>
      <c r="X23" s="113"/>
      <c r="Y23" s="81">
        <f t="shared" si="3"/>
        <v>20062.242405712663</v>
      </c>
      <c r="Z23" s="85">
        <f t="shared" si="4"/>
        <v>20062.242405712663</v>
      </c>
      <c r="AA23" s="80">
        <f>IF($AE23&gt;$Z23,$AE23*(1+'Factors &amp; Percentages'!$B$3),IF($Y23&gt;$Z23,$Z23,IF($Y23&gt;$AE23,$Y23,$AE23*(1+'Factors &amp; Percentages'!$B$3))))</f>
        <v>20062.242405712663</v>
      </c>
      <c r="AB23" s="80">
        <f t="shared" si="5"/>
        <v>20062.242405712663</v>
      </c>
      <c r="AC23" s="85"/>
      <c r="AD23" s="80">
        <f t="shared" si="6"/>
        <v>20062.242405712663</v>
      </c>
      <c r="AE23" s="86">
        <v>18406</v>
      </c>
      <c r="AF23" s="87"/>
      <c r="AG23" s="88"/>
      <c r="AH23" s="88"/>
      <c r="AI23" s="88"/>
      <c r="AJ23" s="5"/>
    </row>
    <row r="24" spans="1:36" x14ac:dyDescent="0.3">
      <c r="A24" s="91" t="s">
        <v>165</v>
      </c>
      <c r="B24" s="76" t="s">
        <v>75</v>
      </c>
      <c r="C24" s="76" t="s">
        <v>163</v>
      </c>
      <c r="D24" s="31"/>
      <c r="E24" s="43">
        <f t="shared" si="0"/>
        <v>25709.113968502275</v>
      </c>
      <c r="F24" s="29"/>
      <c r="G24" s="51">
        <f>43207-16335</f>
        <v>26872</v>
      </c>
      <c r="H24" s="59">
        <v>34887</v>
      </c>
      <c r="I24" s="51">
        <v>41380</v>
      </c>
      <c r="J24" s="59">
        <v>4167</v>
      </c>
      <c r="K24" s="49">
        <v>643</v>
      </c>
      <c r="L24" s="29"/>
      <c r="M24" s="62">
        <f t="shared" si="1"/>
        <v>34951.300000000003</v>
      </c>
      <c r="N24" s="58">
        <f t="shared" si="2"/>
        <v>41796.699999999997</v>
      </c>
      <c r="O24" s="46">
        <f>SUM(M24*'Factors &amp; Percentages'!$E$6+N24*'Factors &amp; Percentages'!$E$7)</f>
        <v>5264.8983179936859</v>
      </c>
      <c r="P24" s="65">
        <v>0.5</v>
      </c>
      <c r="Q24" s="46">
        <f>P24*'Factors &amp; Percentages'!$E$10</f>
        <v>5482.7878955843717</v>
      </c>
      <c r="R24" s="69">
        <v>5284</v>
      </c>
      <c r="S24" s="46">
        <f>R24*'Factors &amp; Percentages'!$E$13</f>
        <v>9382.6958829659379</v>
      </c>
      <c r="T24" s="63">
        <v>25</v>
      </c>
      <c r="U24" s="64">
        <v>80</v>
      </c>
      <c r="V24" s="63">
        <v>7385</v>
      </c>
      <c r="W24" s="46">
        <f>T24*'Factors &amp; Percentages'!$E$16+U24*'Factors &amp; Percentages'!$E$17+V24*'Factors &amp; Percentages'!$E$18</f>
        <v>5578.7318719582809</v>
      </c>
      <c r="X24" s="114"/>
      <c r="Y24" s="58">
        <f t="shared" si="3"/>
        <v>25709.113968502275</v>
      </c>
      <c r="Z24" s="71">
        <f t="shared" si="4"/>
        <v>25709.113968502275</v>
      </c>
      <c r="AA24" s="51">
        <f>IF($AE24&gt;$Z24,$AE24*(1+'Factors &amp; Percentages'!$B$3),IF($Y24&gt;$Z24,$Z24,IF($Y24&gt;$AE24,$Y24,$AE24*(1+'Factors &amp; Percentages'!$B$3))))</f>
        <v>25709.113968502275</v>
      </c>
      <c r="AB24" s="59">
        <f t="shared" si="5"/>
        <v>25709.113968502275</v>
      </c>
      <c r="AC24" s="42"/>
      <c r="AD24" s="43">
        <f t="shared" si="6"/>
        <v>25709.113968502275</v>
      </c>
      <c r="AE24" s="75">
        <v>12000</v>
      </c>
      <c r="AF24" s="32"/>
      <c r="AG24" s="33"/>
      <c r="AH24" s="33"/>
      <c r="AI24" s="33"/>
      <c r="AJ24" s="5"/>
    </row>
    <row r="25" spans="1:36" s="89" customFormat="1" x14ac:dyDescent="0.3">
      <c r="A25" s="90" t="s">
        <v>9</v>
      </c>
      <c r="B25" s="78" t="s">
        <v>8</v>
      </c>
      <c r="C25" s="78" t="s">
        <v>8</v>
      </c>
      <c r="D25" s="79"/>
      <c r="E25" s="80">
        <f t="shared" si="0"/>
        <v>8935.5500000000011</v>
      </c>
      <c r="F25" s="80"/>
      <c r="G25" s="80">
        <v>15475</v>
      </c>
      <c r="H25" s="80">
        <v>13747</v>
      </c>
      <c r="I25" s="80">
        <v>6801</v>
      </c>
      <c r="J25" s="80">
        <v>2667</v>
      </c>
      <c r="K25" s="80">
        <v>0</v>
      </c>
      <c r="L25" s="80"/>
      <c r="M25" s="81">
        <f t="shared" si="1"/>
        <v>13747</v>
      </c>
      <c r="N25" s="81">
        <f t="shared" si="2"/>
        <v>7067.7</v>
      </c>
      <c r="O25" s="81">
        <f>SUM(M25*'Factors &amp; Percentages'!$E$6+N25*'Factors &amp; Percentages'!$E$7)</f>
        <v>1522.0593976011314</v>
      </c>
      <c r="P25" s="82">
        <v>0.25</v>
      </c>
      <c r="Q25" s="81">
        <f>P25*'Factors &amp; Percentages'!$E$10</f>
        <v>2741.3939477921858</v>
      </c>
      <c r="R25" s="83">
        <v>4158</v>
      </c>
      <c r="S25" s="81">
        <f>R25*'Factors &amp; Percentages'!$E$13</f>
        <v>7383.2796141885628</v>
      </c>
      <c r="T25" s="84">
        <v>14</v>
      </c>
      <c r="U25" s="84">
        <v>39</v>
      </c>
      <c r="V25" s="84">
        <v>1390</v>
      </c>
      <c r="W25" s="81">
        <f>T25*'Factors &amp; Percentages'!$E$16+U25*'Factors &amp; Percentages'!$E$17+V25*'Factors &amp; Percentages'!$E$18</f>
        <v>2543.9917342648014</v>
      </c>
      <c r="X25" s="113"/>
      <c r="Y25" s="81">
        <f t="shared" si="3"/>
        <v>14190.724693846681</v>
      </c>
      <c r="Z25" s="85">
        <f t="shared" si="4"/>
        <v>8935.5500000000011</v>
      </c>
      <c r="AA25" s="80">
        <f>IF($AE25&gt;$Z25,$AE25*(1+'Factors &amp; Percentages'!$B$3),IF($Y25&gt;$Z25,$Z25,IF($Y25&gt;$AE25,$Y25,$AE25*(1+'Factors &amp; Percentages'!$B$3))))</f>
        <v>8935.5500000000011</v>
      </c>
      <c r="AB25" s="80">
        <f t="shared" si="5"/>
        <v>8935.5500000000011</v>
      </c>
      <c r="AC25" s="85"/>
      <c r="AD25" s="80">
        <f t="shared" si="6"/>
        <v>8935.5500000000011</v>
      </c>
      <c r="AE25" s="86">
        <v>6000</v>
      </c>
      <c r="AF25" s="87"/>
      <c r="AG25" s="88"/>
      <c r="AH25" s="88"/>
      <c r="AI25" s="88"/>
      <c r="AJ25" s="5"/>
    </row>
    <row r="26" spans="1:36" x14ac:dyDescent="0.3">
      <c r="A26" s="91" t="s">
        <v>166</v>
      </c>
      <c r="B26" s="76" t="s">
        <v>75</v>
      </c>
      <c r="C26" s="76" t="s">
        <v>163</v>
      </c>
      <c r="D26" s="31"/>
      <c r="E26" s="43">
        <f t="shared" si="0"/>
        <v>20125.074358577651</v>
      </c>
      <c r="F26" s="29"/>
      <c r="G26" s="51">
        <v>24674</v>
      </c>
      <c r="H26" s="59">
        <v>38810</v>
      </c>
      <c r="I26" s="51">
        <v>55174</v>
      </c>
      <c r="J26" s="59">
        <v>0</v>
      </c>
      <c r="K26" s="49">
        <v>0</v>
      </c>
      <c r="L26" s="29"/>
      <c r="M26" s="62">
        <f t="shared" si="1"/>
        <v>38810</v>
      </c>
      <c r="N26" s="58">
        <f t="shared" si="2"/>
        <v>55174</v>
      </c>
      <c r="O26" s="46">
        <f>SUM(M26*'Factors &amp; Percentages'!$E$6+N26*'Factors &amp; Percentages'!$E$7)</f>
        <v>6359.2282044337853</v>
      </c>
      <c r="P26" s="65">
        <v>0.5</v>
      </c>
      <c r="Q26" s="46">
        <f>P26*'Factors &amp; Percentages'!$E$10</f>
        <v>5482.7878955843717</v>
      </c>
      <c r="R26" s="69">
        <v>2283</v>
      </c>
      <c r="S26" s="46">
        <f>R26*'Factors &amp; Percentages'!$E$13</f>
        <v>4053.8786337644274</v>
      </c>
      <c r="T26" s="63">
        <v>19</v>
      </c>
      <c r="U26" s="64">
        <v>64</v>
      </c>
      <c r="V26" s="63">
        <v>5220</v>
      </c>
      <c r="W26" s="46">
        <f>T26*'Factors &amp; Percentages'!$E$16+U26*'Factors &amp; Percentages'!$E$17+V26*'Factors &amp; Percentages'!$E$18</f>
        <v>4229.1796247950642</v>
      </c>
      <c r="X26" s="114"/>
      <c r="Y26" s="58">
        <f t="shared" si="3"/>
        <v>20125.074358577651</v>
      </c>
      <c r="Z26" s="71">
        <f t="shared" si="4"/>
        <v>20125.074358577651</v>
      </c>
      <c r="AA26" s="51">
        <f>IF($AE26&gt;$Z26,$AE26*(1+'Factors &amp; Percentages'!$B$3),IF($Y26&gt;$Z26,$Z26,IF($Y26&gt;$AE26,$Y26,$AE26*(1+'Factors &amp; Percentages'!$B$3))))</f>
        <v>20125.074358577651</v>
      </c>
      <c r="AB26" s="59">
        <f t="shared" si="5"/>
        <v>20125.074358577651</v>
      </c>
      <c r="AC26" s="42"/>
      <c r="AD26" s="43">
        <f t="shared" si="6"/>
        <v>20125.074358577651</v>
      </c>
      <c r="AE26" s="75">
        <v>16038</v>
      </c>
      <c r="AF26" s="32"/>
      <c r="AG26" s="33"/>
      <c r="AH26" s="33"/>
      <c r="AI26" s="33"/>
      <c r="AJ26" s="5"/>
    </row>
    <row r="27" spans="1:36" s="89" customFormat="1" x14ac:dyDescent="0.3">
      <c r="A27" s="90" t="s">
        <v>46</v>
      </c>
      <c r="B27" s="78" t="s">
        <v>43</v>
      </c>
      <c r="C27" s="78" t="s">
        <v>42</v>
      </c>
      <c r="D27" s="79"/>
      <c r="E27" s="80">
        <f t="shared" si="0"/>
        <v>115500</v>
      </c>
      <c r="F27" s="80"/>
      <c r="G27" s="80">
        <f>240097-15447</f>
        <v>224650</v>
      </c>
      <c r="H27" s="80">
        <v>244461</v>
      </c>
      <c r="I27" s="80">
        <v>72009</v>
      </c>
      <c r="J27" s="80">
        <v>58350</v>
      </c>
      <c r="K27" s="80">
        <v>28449</v>
      </c>
      <c r="L27" s="80"/>
      <c r="M27" s="81">
        <f t="shared" si="1"/>
        <v>247305.9</v>
      </c>
      <c r="N27" s="81">
        <f t="shared" si="2"/>
        <v>77844</v>
      </c>
      <c r="O27" s="81">
        <f>SUM(M27*'Factors &amp; Percentages'!$E$6+N27*'Factors &amp; Percentages'!$E$7)</f>
        <v>24494.843706004205</v>
      </c>
      <c r="P27" s="82">
        <v>2</v>
      </c>
      <c r="Q27" s="81">
        <f>P27*'Factors &amp; Percentages'!$E$10</f>
        <v>21931.151582337487</v>
      </c>
      <c r="R27" s="83">
        <v>3816</v>
      </c>
      <c r="S27" s="81">
        <f>R27*'Factors &amp; Percentages'!$E$13</f>
        <v>6775.9968753592002</v>
      </c>
      <c r="T27" s="84">
        <v>130</v>
      </c>
      <c r="U27" s="84">
        <v>305</v>
      </c>
      <c r="V27" s="84">
        <v>25921</v>
      </c>
      <c r="W27" s="81">
        <f>T27*'Factors &amp; Percentages'!$E$16+U27*'Factors &amp; Percentages'!$E$17+V27*'Factors &amp; Percentages'!$E$18</f>
        <v>24853.912157959414</v>
      </c>
      <c r="X27" s="113"/>
      <c r="Y27" s="81">
        <f t="shared" si="3"/>
        <v>78055.904321660317</v>
      </c>
      <c r="Z27" s="85">
        <f t="shared" si="4"/>
        <v>78055.904321660317</v>
      </c>
      <c r="AA27" s="80">
        <f>IF($AE27&gt;$Z27,$AE27*(1+'Factors &amp; Percentages'!$B$3),IF($Y27&gt;$Z27,$Z27,IF($Y27&gt;$AE27,$Y27,$AE27*(1+'Factors &amp; Percentages'!$B$3))))</f>
        <v>115500</v>
      </c>
      <c r="AB27" s="80">
        <f t="shared" si="5"/>
        <v>115500</v>
      </c>
      <c r="AC27" s="85"/>
      <c r="AD27" s="80">
        <f t="shared" si="6"/>
        <v>115500</v>
      </c>
      <c r="AE27" s="86">
        <v>110000</v>
      </c>
      <c r="AF27" s="87"/>
      <c r="AG27" s="88"/>
      <c r="AH27" s="88"/>
      <c r="AI27" s="88"/>
      <c r="AJ27" s="5"/>
    </row>
    <row r="28" spans="1:36" x14ac:dyDescent="0.3">
      <c r="A28" s="91" t="s">
        <v>80</v>
      </c>
      <c r="B28" s="76" t="s">
        <v>75</v>
      </c>
      <c r="C28" s="76" t="s">
        <v>75</v>
      </c>
      <c r="D28" s="31"/>
      <c r="E28" s="43">
        <f t="shared" si="0"/>
        <v>11473.837220710626</v>
      </c>
      <c r="F28" s="29"/>
      <c r="G28" s="51">
        <f>18511-1859</f>
        <v>16652</v>
      </c>
      <c r="H28" s="59">
        <v>25625</v>
      </c>
      <c r="I28" s="51">
        <v>15713</v>
      </c>
      <c r="J28" s="59">
        <v>0</v>
      </c>
      <c r="K28" s="49">
        <v>0</v>
      </c>
      <c r="L28" s="29"/>
      <c r="M28" s="62">
        <f t="shared" si="1"/>
        <v>25625</v>
      </c>
      <c r="N28" s="58">
        <f t="shared" si="2"/>
        <v>15713</v>
      </c>
      <c r="O28" s="46">
        <f>SUM(M28*'Factors &amp; Percentages'!$E$6+N28*'Factors &amp; Percentages'!$E$7)</f>
        <v>2985.8160828459936</v>
      </c>
      <c r="P28" s="65">
        <v>0.3</v>
      </c>
      <c r="Q28" s="46">
        <f>P28*'Factors &amp; Percentages'!$E$10</f>
        <v>3289.6727373506228</v>
      </c>
      <c r="R28" s="69">
        <v>1428</v>
      </c>
      <c r="S28" s="46">
        <f>R28*'Factors &amp; Percentages'!$E$13</f>
        <v>2535.6717866910217</v>
      </c>
      <c r="T28" s="63">
        <v>11</v>
      </c>
      <c r="U28" s="64">
        <v>37</v>
      </c>
      <c r="V28" s="63">
        <v>4263</v>
      </c>
      <c r="W28" s="46">
        <f>T28*'Factors &amp; Percentages'!$E$16+U28*'Factors &amp; Percentages'!$E$17+V28*'Factors &amp; Percentages'!$E$18</f>
        <v>2662.6766138229864</v>
      </c>
      <c r="X28" s="114"/>
      <c r="Y28" s="58">
        <f t="shared" si="3"/>
        <v>11473.837220710626</v>
      </c>
      <c r="Z28" s="71">
        <f t="shared" si="4"/>
        <v>11473.837220710626</v>
      </c>
      <c r="AA28" s="51">
        <f>IF($AE28&gt;$Z28,$AE28*(1+'Factors &amp; Percentages'!$B$3),IF($Y28&gt;$Z28,$Z28,IF($Y28&gt;$AE28,$Y28,$AE28*(1+'Factors &amp; Percentages'!$B$3))))</f>
        <v>11473.837220710626</v>
      </c>
      <c r="AB28" s="59">
        <f t="shared" si="5"/>
        <v>11473.837220710626</v>
      </c>
      <c r="AC28" s="42"/>
      <c r="AD28" s="43">
        <f t="shared" si="6"/>
        <v>11473.837220710626</v>
      </c>
      <c r="AE28" s="75">
        <v>8000</v>
      </c>
      <c r="AF28" s="32"/>
      <c r="AG28" s="33"/>
      <c r="AH28" s="33"/>
      <c r="AI28" s="33"/>
      <c r="AJ28" s="5"/>
    </row>
    <row r="29" spans="1:36" s="89" customFormat="1" x14ac:dyDescent="0.3">
      <c r="A29" s="90" t="s">
        <v>47</v>
      </c>
      <c r="B29" s="78" t="s">
        <v>43</v>
      </c>
      <c r="C29" s="78" t="s">
        <v>42</v>
      </c>
      <c r="D29" s="79"/>
      <c r="E29" s="80">
        <f t="shared" si="0"/>
        <v>12600</v>
      </c>
      <c r="F29" s="80"/>
      <c r="G29" s="80">
        <v>19611</v>
      </c>
      <c r="H29" s="80">
        <v>24132</v>
      </c>
      <c r="I29" s="80">
        <v>8181</v>
      </c>
      <c r="J29" s="80">
        <v>24006</v>
      </c>
      <c r="K29" s="80">
        <v>1783</v>
      </c>
      <c r="L29" s="80"/>
      <c r="M29" s="81">
        <f t="shared" si="1"/>
        <v>24310.3</v>
      </c>
      <c r="N29" s="81">
        <f t="shared" si="2"/>
        <v>10581.6</v>
      </c>
      <c r="O29" s="81">
        <f>SUM(M29*'Factors &amp; Percentages'!$E$6+N29*'Factors &amp; Percentages'!$E$7)</f>
        <v>2579.3807419992263</v>
      </c>
      <c r="P29" s="82">
        <v>0.25</v>
      </c>
      <c r="Q29" s="81">
        <f>P29*'Factors &amp; Percentages'!$E$10</f>
        <v>2741.3939477921858</v>
      </c>
      <c r="R29" s="83">
        <v>1323</v>
      </c>
      <c r="S29" s="81">
        <f>R29*'Factors &amp; Percentages'!$E$13</f>
        <v>2349.2253317872701</v>
      </c>
      <c r="T29" s="84">
        <v>15</v>
      </c>
      <c r="U29" s="84">
        <v>54</v>
      </c>
      <c r="V29" s="84">
        <v>5434</v>
      </c>
      <c r="W29" s="81">
        <f>T29*'Factors &amp; Percentages'!$E$16+U29*'Factors &amp; Percentages'!$E$17+V29*'Factors &amp; Percentages'!$E$18</f>
        <v>3628.7905274721888</v>
      </c>
      <c r="X29" s="113"/>
      <c r="Y29" s="81">
        <f t="shared" si="3"/>
        <v>11298.790549050871</v>
      </c>
      <c r="Z29" s="85">
        <f t="shared" si="4"/>
        <v>11298.790549050871</v>
      </c>
      <c r="AA29" s="80">
        <f>IF($AE29&gt;$Z29,$AE29*(1+'Factors &amp; Percentages'!$B$3),IF($Y29&gt;$Z29,$Z29,IF($Y29&gt;$AE29,$Y29,$AE29*(1+'Factors &amp; Percentages'!$B$3))))</f>
        <v>12600</v>
      </c>
      <c r="AB29" s="80">
        <f t="shared" si="5"/>
        <v>12600</v>
      </c>
      <c r="AC29" s="85"/>
      <c r="AD29" s="80">
        <f t="shared" si="6"/>
        <v>12600</v>
      </c>
      <c r="AE29" s="86">
        <v>12000</v>
      </c>
      <c r="AF29" s="87"/>
      <c r="AG29" s="88"/>
      <c r="AH29" s="88"/>
      <c r="AI29" s="88"/>
      <c r="AJ29" s="5"/>
    </row>
    <row r="30" spans="1:36" x14ac:dyDescent="0.3">
      <c r="A30" s="91" t="s">
        <v>124</v>
      </c>
      <c r="B30" s="76" t="s">
        <v>43</v>
      </c>
      <c r="C30" s="76" t="s">
        <v>123</v>
      </c>
      <c r="D30" s="31"/>
      <c r="E30" s="43">
        <f t="shared" si="0"/>
        <v>7495.6849947098208</v>
      </c>
      <c r="F30" s="29"/>
      <c r="G30" s="51">
        <v>8500</v>
      </c>
      <c r="H30" s="59">
        <v>11739</v>
      </c>
      <c r="I30" s="51">
        <v>8314</v>
      </c>
      <c r="J30" s="59">
        <v>2047</v>
      </c>
      <c r="K30" s="49">
        <v>4739</v>
      </c>
      <c r="L30" s="29"/>
      <c r="M30" s="62">
        <f t="shared" si="1"/>
        <v>12212.9</v>
      </c>
      <c r="N30" s="58">
        <f t="shared" si="2"/>
        <v>8518.7000000000007</v>
      </c>
      <c r="O30" s="46">
        <f>SUM(M30*'Factors &amp; Percentages'!$E$6+N30*'Factors &amp; Percentages'!$E$7)</f>
        <v>1483.342686049871</v>
      </c>
      <c r="P30" s="65">
        <v>0.25</v>
      </c>
      <c r="Q30" s="46">
        <f>P30*'Factors &amp; Percentages'!$E$10</f>
        <v>2741.3939477921858</v>
      </c>
      <c r="R30" s="69">
        <v>669</v>
      </c>
      <c r="S30" s="46">
        <f>R30*'Factors &amp; Percentages'!$E$13</f>
        <v>1187.9302698153315</v>
      </c>
      <c r="T30" s="63">
        <v>9</v>
      </c>
      <c r="U30" s="64">
        <v>24</v>
      </c>
      <c r="V30" s="63">
        <v>3586</v>
      </c>
      <c r="W30" s="46">
        <f>T30*'Factors &amp; Percentages'!$E$16+U30*'Factors &amp; Percentages'!$E$17+V30*'Factors &amp; Percentages'!$E$18</f>
        <v>2083.0180910524323</v>
      </c>
      <c r="X30" s="114"/>
      <c r="Y30" s="58">
        <f t="shared" si="3"/>
        <v>7495.6849947098208</v>
      </c>
      <c r="Z30" s="71">
        <f t="shared" si="4"/>
        <v>7495.6849947098208</v>
      </c>
      <c r="AA30" s="51">
        <f>IF($AE30&gt;$Z30,$AE30*(1+'Factors &amp; Percentages'!$B$3),IF($Y30&gt;$Z30,$Z30,IF($Y30&gt;$AE30,$Y30,$AE30*(1+'Factors &amp; Percentages'!$B$3))))</f>
        <v>7495.6849947098208</v>
      </c>
      <c r="AB30" s="59">
        <f t="shared" si="5"/>
        <v>7495.6849947098208</v>
      </c>
      <c r="AC30" s="42"/>
      <c r="AD30" s="43">
        <f t="shared" si="6"/>
        <v>7495.6849947098208</v>
      </c>
      <c r="AE30" s="75">
        <v>6300</v>
      </c>
      <c r="AF30" s="32"/>
      <c r="AG30" s="33"/>
      <c r="AH30" s="33"/>
      <c r="AI30" s="33"/>
      <c r="AJ30" s="5"/>
    </row>
    <row r="31" spans="1:36" s="89" customFormat="1" x14ac:dyDescent="0.3">
      <c r="A31" s="90" t="s">
        <v>147</v>
      </c>
      <c r="B31" s="78" t="s">
        <v>43</v>
      </c>
      <c r="C31" s="78" t="s">
        <v>145</v>
      </c>
      <c r="D31" s="79"/>
      <c r="E31" s="80">
        <f t="shared" si="0"/>
        <v>40104.487323858273</v>
      </c>
      <c r="F31" s="80"/>
      <c r="G31" s="80">
        <f>58839-4348</f>
        <v>54491</v>
      </c>
      <c r="H31" s="80">
        <v>72156</v>
      </c>
      <c r="I31" s="80">
        <v>57415</v>
      </c>
      <c r="J31" s="80">
        <v>1918</v>
      </c>
      <c r="K31" s="80">
        <v>1607</v>
      </c>
      <c r="L31" s="80"/>
      <c r="M31" s="81">
        <f t="shared" si="1"/>
        <v>72316.7</v>
      </c>
      <c r="N31" s="81">
        <f t="shared" si="2"/>
        <v>57606.8</v>
      </c>
      <c r="O31" s="81">
        <f>SUM(M31*'Factors &amp; Percentages'!$E$6+N31*'Factors &amp; Percentages'!$E$7)</f>
        <v>9202.8727623529885</v>
      </c>
      <c r="P31" s="82">
        <v>0.5</v>
      </c>
      <c r="Q31" s="81">
        <f>P31*'Factors &amp; Percentages'!$E$10</f>
        <v>5482.7878955843717</v>
      </c>
      <c r="R31" s="83">
        <v>11952</v>
      </c>
      <c r="S31" s="81">
        <f>R31*'Factors &amp; Percentages'!$E$13</f>
        <v>21222.933609615608</v>
      </c>
      <c r="T31" s="84">
        <v>16</v>
      </c>
      <c r="U31" s="84">
        <v>88</v>
      </c>
      <c r="V31" s="84">
        <v>4526</v>
      </c>
      <c r="W31" s="81">
        <f>T31*'Factors &amp; Percentages'!$E$16+U31*'Factors &amp; Percentages'!$E$17+V31*'Factors &amp; Percentages'!$E$18</f>
        <v>4195.8930563053082</v>
      </c>
      <c r="X31" s="113"/>
      <c r="Y31" s="81">
        <f t="shared" si="3"/>
        <v>40104.487323858273</v>
      </c>
      <c r="Z31" s="85">
        <f t="shared" si="4"/>
        <v>40104.487323858273</v>
      </c>
      <c r="AA31" s="80">
        <f>IF($AE31&gt;$Z31,$AE31*(1+'Factors &amp; Percentages'!$B$3),IF($Y31&gt;$Z31,$Z31,IF($Y31&gt;$AE31,$Y31,$AE31*(1+'Factors &amp; Percentages'!$B$3))))</f>
        <v>40104.487323858273</v>
      </c>
      <c r="AB31" s="80">
        <f t="shared" si="5"/>
        <v>40104.487323858273</v>
      </c>
      <c r="AC31" s="85"/>
      <c r="AD31" s="80">
        <f t="shared" si="6"/>
        <v>40104.487323858273</v>
      </c>
      <c r="AE31" s="86">
        <v>24000</v>
      </c>
      <c r="AF31" s="87"/>
      <c r="AG31" s="88"/>
      <c r="AH31" s="88"/>
      <c r="AI31" s="88"/>
      <c r="AJ31" s="5"/>
    </row>
    <row r="32" spans="1:36" x14ac:dyDescent="0.3">
      <c r="A32" s="91" t="s">
        <v>148</v>
      </c>
      <c r="B32" s="76" t="s">
        <v>43</v>
      </c>
      <c r="C32" s="76" t="s">
        <v>145</v>
      </c>
      <c r="D32" s="31"/>
      <c r="E32" s="43">
        <f t="shared" si="0"/>
        <v>14298.7</v>
      </c>
      <c r="F32" s="29"/>
      <c r="G32" s="51">
        <v>36426</v>
      </c>
      <c r="H32" s="59">
        <v>21998</v>
      </c>
      <c r="I32" s="51">
        <v>2675</v>
      </c>
      <c r="J32" s="59">
        <v>7692</v>
      </c>
      <c r="K32" s="49">
        <v>4826</v>
      </c>
      <c r="L32" s="29"/>
      <c r="M32" s="62">
        <f t="shared" si="1"/>
        <v>22480.6</v>
      </c>
      <c r="N32" s="58">
        <f t="shared" si="2"/>
        <v>3444.2</v>
      </c>
      <c r="O32" s="46">
        <f>SUM(M32*'Factors &amp; Percentages'!$E$6+N32*'Factors &amp; Percentages'!$E$7)</f>
        <v>2013.9745086750734</v>
      </c>
      <c r="P32" s="65">
        <v>0.5</v>
      </c>
      <c r="Q32" s="46">
        <f>P32*'Factors &amp; Percentages'!$E$10</f>
        <v>5482.7878955843717</v>
      </c>
      <c r="R32" s="69">
        <v>1497</v>
      </c>
      <c r="S32" s="46">
        <f>R32*'Factors &amp; Percentages'!$E$13</f>
        <v>2658.1937427706298</v>
      </c>
      <c r="T32" s="63">
        <v>23</v>
      </c>
      <c r="U32" s="64">
        <v>49</v>
      </c>
      <c r="V32" s="63">
        <v>8459</v>
      </c>
      <c r="W32" s="46">
        <f>T32*'Factors &amp; Percentages'!$E$16+U32*'Factors &amp; Percentages'!$E$17+V32*'Factors &amp; Percentages'!$E$18</f>
        <v>4979.7162372243138</v>
      </c>
      <c r="X32" s="114"/>
      <c r="Y32" s="58">
        <f t="shared" si="3"/>
        <v>15134.672384254391</v>
      </c>
      <c r="Z32" s="71">
        <f t="shared" si="4"/>
        <v>14298.7</v>
      </c>
      <c r="AA32" s="51">
        <f>IF($AE32&gt;$Z32,$AE32*(1+'Factors &amp; Percentages'!$B$3),IF($Y32&gt;$Z32,$Z32,IF($Y32&gt;$AE32,$Y32,$AE32*(1+'Factors &amp; Percentages'!$B$3))))</f>
        <v>14298.7</v>
      </c>
      <c r="AB32" s="59">
        <f t="shared" si="5"/>
        <v>14298.7</v>
      </c>
      <c r="AC32" s="42"/>
      <c r="AD32" s="43">
        <f t="shared" si="6"/>
        <v>14298.7</v>
      </c>
      <c r="AE32" s="75">
        <v>13200</v>
      </c>
      <c r="AF32" s="32"/>
      <c r="AG32" s="33"/>
      <c r="AH32" s="33"/>
      <c r="AI32" s="33"/>
      <c r="AJ32" s="5"/>
    </row>
    <row r="33" spans="1:36" s="89" customFormat="1" x14ac:dyDescent="0.3">
      <c r="A33" s="90" t="s">
        <v>61</v>
      </c>
      <c r="B33" s="78" t="s">
        <v>8</v>
      </c>
      <c r="C33" s="78" t="s">
        <v>59</v>
      </c>
      <c r="D33" s="79"/>
      <c r="E33" s="80">
        <f t="shared" si="0"/>
        <v>31292.662656262368</v>
      </c>
      <c r="F33" s="80"/>
      <c r="G33" s="80">
        <v>40855</v>
      </c>
      <c r="H33" s="80">
        <v>48286</v>
      </c>
      <c r="I33" s="80">
        <v>3565</v>
      </c>
      <c r="J33" s="80">
        <v>12179</v>
      </c>
      <c r="K33" s="80">
        <v>2785</v>
      </c>
      <c r="L33" s="80"/>
      <c r="M33" s="81">
        <f t="shared" si="1"/>
        <v>48564.5</v>
      </c>
      <c r="N33" s="81">
        <f t="shared" si="2"/>
        <v>4782.8999999999996</v>
      </c>
      <c r="O33" s="81">
        <f>SUM(M33*'Factors &amp; Percentages'!$E$6+N33*'Factors &amp; Percentages'!$E$7)</f>
        <v>4195.1563238728586</v>
      </c>
      <c r="P33" s="82">
        <v>1</v>
      </c>
      <c r="Q33" s="81">
        <f>P33*'Factors &amp; Percentages'!$E$10</f>
        <v>10965.575791168743</v>
      </c>
      <c r="R33" s="83">
        <v>3630</v>
      </c>
      <c r="S33" s="81">
        <f>R33*'Factors &amp; Percentages'!$E$13</f>
        <v>6445.720298101126</v>
      </c>
      <c r="T33" s="84">
        <v>46</v>
      </c>
      <c r="U33" s="84">
        <v>90</v>
      </c>
      <c r="V33" s="84">
        <v>16170</v>
      </c>
      <c r="W33" s="81">
        <f>T33*'Factors &amp; Percentages'!$E$16+U33*'Factors &amp; Percentages'!$E$17+V33*'Factors &amp; Percentages'!$E$18</f>
        <v>9686.2102431196399</v>
      </c>
      <c r="X33" s="113"/>
      <c r="Y33" s="81">
        <f t="shared" si="3"/>
        <v>31292.662656262368</v>
      </c>
      <c r="Z33" s="85">
        <f t="shared" si="4"/>
        <v>31292.662656262368</v>
      </c>
      <c r="AA33" s="80">
        <f>IF($AE33&gt;$Z33,$AE33*(1+'Factors &amp; Percentages'!$B$3),IF($Y33&gt;$Z33,$Z33,IF($Y33&gt;$AE33,$Y33,$AE33*(1+'Factors &amp; Percentages'!$B$3))))</f>
        <v>31292.662656262368</v>
      </c>
      <c r="AB33" s="80">
        <f t="shared" si="5"/>
        <v>31292.662656262368</v>
      </c>
      <c r="AC33" s="85"/>
      <c r="AD33" s="80">
        <f t="shared" si="6"/>
        <v>31292.662656262368</v>
      </c>
      <c r="AE33" s="86">
        <v>25500</v>
      </c>
      <c r="AF33" s="87"/>
      <c r="AG33" s="88"/>
      <c r="AH33" s="88"/>
      <c r="AI33" s="88"/>
      <c r="AJ33" s="5"/>
    </row>
    <row r="34" spans="1:36" x14ac:dyDescent="0.3">
      <c r="A34" s="91" t="s">
        <v>32</v>
      </c>
      <c r="B34" s="76" t="s">
        <v>8</v>
      </c>
      <c r="C34" s="76" t="s">
        <v>30</v>
      </c>
      <c r="D34" s="31"/>
      <c r="E34" s="43">
        <f t="shared" si="0"/>
        <v>10613.347279895934</v>
      </c>
      <c r="F34" s="29"/>
      <c r="G34" s="51">
        <v>14713</v>
      </c>
      <c r="H34" s="59">
        <v>17869</v>
      </c>
      <c r="I34" s="51">
        <v>16764</v>
      </c>
      <c r="J34" s="59">
        <v>11495</v>
      </c>
      <c r="K34" s="49">
        <v>1100</v>
      </c>
      <c r="L34" s="29"/>
      <c r="M34" s="62">
        <f t="shared" si="1"/>
        <v>17979</v>
      </c>
      <c r="N34" s="58">
        <f t="shared" si="2"/>
        <v>17913.5</v>
      </c>
      <c r="O34" s="46">
        <f>SUM(M34*'Factors &amp; Percentages'!$E$6+N34*'Factors &amp; Percentages'!$E$7)</f>
        <v>2498.2617253238122</v>
      </c>
      <c r="P34" s="65">
        <v>0.33</v>
      </c>
      <c r="Q34" s="46">
        <f>P34*'Factors &amp; Percentages'!$E$10</f>
        <v>3618.6400110856853</v>
      </c>
      <c r="R34" s="69">
        <v>1211</v>
      </c>
      <c r="S34" s="46">
        <f>R34*'Factors &amp; Percentages'!$E$13</f>
        <v>2150.3491132232684</v>
      </c>
      <c r="T34" s="63">
        <v>13</v>
      </c>
      <c r="U34" s="64">
        <v>33</v>
      </c>
      <c r="V34" s="63">
        <v>1530</v>
      </c>
      <c r="W34" s="46">
        <f>T34*'Factors &amp; Percentages'!$E$16+U34*'Factors &amp; Percentages'!$E$17+V34*'Factors &amp; Percentages'!$E$18</f>
        <v>2346.0964302631683</v>
      </c>
      <c r="X34" s="114"/>
      <c r="Y34" s="58">
        <f t="shared" si="3"/>
        <v>10613.347279895934</v>
      </c>
      <c r="Z34" s="71">
        <f t="shared" si="4"/>
        <v>10613.347279895934</v>
      </c>
      <c r="AA34" s="51">
        <f>IF($AE34&gt;$Z34,$AE34*(1+'Factors &amp; Percentages'!$B$3),IF($Y34&gt;$Z34,$Z34,IF($Y34&gt;$AE34,$Y34,$AE34*(1+'Factors &amp; Percentages'!$B$3))))</f>
        <v>10613.347279895934</v>
      </c>
      <c r="AB34" s="59">
        <f t="shared" si="5"/>
        <v>10613.347279895934</v>
      </c>
      <c r="AC34" s="42"/>
      <c r="AD34" s="43">
        <f t="shared" si="6"/>
        <v>10613.347279895934</v>
      </c>
      <c r="AE34" s="75">
        <v>8500</v>
      </c>
      <c r="AF34" s="32"/>
      <c r="AG34" s="33"/>
      <c r="AH34" s="33"/>
      <c r="AI34" s="33"/>
      <c r="AJ34" s="5"/>
    </row>
    <row r="35" spans="1:36" s="89" customFormat="1" x14ac:dyDescent="0.3">
      <c r="A35" s="90" t="s">
        <v>220</v>
      </c>
      <c r="B35" s="78" t="s">
        <v>8</v>
      </c>
      <c r="C35" s="78" t="s">
        <v>59</v>
      </c>
      <c r="D35" s="79"/>
      <c r="E35" s="80">
        <f t="shared" ref="E35:E66" si="7">+AB35</f>
        <v>17785.600000000002</v>
      </c>
      <c r="F35" s="80"/>
      <c r="G35" s="80">
        <v>19136</v>
      </c>
      <c r="H35" s="80">
        <v>29769</v>
      </c>
      <c r="I35" s="80">
        <v>117801</v>
      </c>
      <c r="J35" s="80">
        <v>665</v>
      </c>
      <c r="K35" s="80">
        <v>0</v>
      </c>
      <c r="L35" s="80"/>
      <c r="M35" s="81">
        <f t="shared" si="1"/>
        <v>29769</v>
      </c>
      <c r="N35" s="81">
        <f t="shared" si="2"/>
        <v>117867.5</v>
      </c>
      <c r="O35" s="81">
        <f>SUM(M35*'Factors &amp; Percentages'!$E$6+N35*'Factors &amp; Percentages'!$E$7)</f>
        <v>9301.1376792004321</v>
      </c>
      <c r="P35" s="82">
        <v>0.1</v>
      </c>
      <c r="Q35" s="81">
        <f>P35*'Factors &amp; Percentages'!$E$10</f>
        <v>1096.5575791168744</v>
      </c>
      <c r="R35" s="83">
        <v>6643</v>
      </c>
      <c r="S35" s="81">
        <f>R35*'Factors &amp; Percentages'!$E$13</f>
        <v>11795.84571357735</v>
      </c>
      <c r="T35" s="84">
        <v>10</v>
      </c>
      <c r="U35" s="84">
        <v>63</v>
      </c>
      <c r="V35" s="84">
        <v>1126</v>
      </c>
      <c r="W35" s="81">
        <f>T35*'Factors &amp; Percentages'!$E$16+U35*'Factors &amp; Percentages'!$E$17+V35*'Factors &amp; Percentages'!$E$18</f>
        <v>2470.7400826752873</v>
      </c>
      <c r="X35" s="113"/>
      <c r="Y35" s="81">
        <f t="shared" si="3"/>
        <v>24664.281054569939</v>
      </c>
      <c r="Z35" s="85">
        <f t="shared" si="4"/>
        <v>24664.281054569939</v>
      </c>
      <c r="AA35" s="80">
        <f>IF($AE35&gt;$Z35,$AE35*(1+'Factors &amp; Percentages'!$B$3),IF($Y35&gt;$Z35,$Z35,IF($Y35&gt;$AE35,$Y35,$AE35*(1+'Factors &amp; Percentages'!$B$3))))</f>
        <v>24664.281054569939</v>
      </c>
      <c r="AB35" s="80">
        <f t="shared" si="5"/>
        <v>17785.600000000002</v>
      </c>
      <c r="AC35" s="85"/>
      <c r="AD35" s="80">
        <f t="shared" si="6"/>
        <v>17785.600000000002</v>
      </c>
      <c r="AE35" s="86">
        <v>12000</v>
      </c>
      <c r="AF35" s="87"/>
      <c r="AG35" s="88"/>
      <c r="AH35" s="88"/>
      <c r="AI35" s="88"/>
      <c r="AJ35" s="5"/>
    </row>
    <row r="36" spans="1:36" x14ac:dyDescent="0.3">
      <c r="A36" s="91" t="s">
        <v>168</v>
      </c>
      <c r="B36" s="76" t="s">
        <v>75</v>
      </c>
      <c r="C36" s="76" t="s">
        <v>163</v>
      </c>
      <c r="D36" s="31"/>
      <c r="E36" s="43">
        <f t="shared" si="7"/>
        <v>45202.5</v>
      </c>
      <c r="F36" s="29"/>
      <c r="G36" s="51">
        <v>58033</v>
      </c>
      <c r="H36" s="59">
        <v>75587</v>
      </c>
      <c r="I36" s="51">
        <v>68108</v>
      </c>
      <c r="J36" s="59">
        <v>31756</v>
      </c>
      <c r="K36" s="49">
        <v>9435</v>
      </c>
      <c r="L36" s="29"/>
      <c r="M36" s="62">
        <f t="shared" si="1"/>
        <v>76530.5</v>
      </c>
      <c r="N36" s="58">
        <f t="shared" si="2"/>
        <v>71283.600000000006</v>
      </c>
      <c r="O36" s="46">
        <f>SUM(M36*'Factors &amp; Percentages'!$E$6+N36*'Factors &amp; Percentages'!$E$7)</f>
        <v>10343.36567930839</v>
      </c>
      <c r="P36" s="65">
        <v>0.33</v>
      </c>
      <c r="Q36" s="46">
        <f>P36*'Factors &amp; Percentages'!$E$10</f>
        <v>3618.6400110856853</v>
      </c>
      <c r="R36" s="69">
        <v>2871</v>
      </c>
      <c r="S36" s="46">
        <f>R36*'Factors &amp; Percentages'!$E$13</f>
        <v>5097.9787812254363</v>
      </c>
      <c r="T36" s="63">
        <v>12</v>
      </c>
      <c r="U36" s="64">
        <v>103</v>
      </c>
      <c r="V36" s="63">
        <v>16618</v>
      </c>
      <c r="W36" s="46">
        <f>T36*'Factors &amp; Percentages'!$E$16+U36*'Factors &amp; Percentages'!$E$17+V36*'Factors &amp; Percentages'!$E$18</f>
        <v>6103.4719594918042</v>
      </c>
      <c r="X36" s="114"/>
      <c r="Y36" s="58">
        <f t="shared" si="3"/>
        <v>25163.456431111314</v>
      </c>
      <c r="Z36" s="71">
        <f t="shared" si="4"/>
        <v>25163.456431111314</v>
      </c>
      <c r="AA36" s="51">
        <f>IF($AE36&gt;$Z36,$AE36*(1+'Factors &amp; Percentages'!$B$3),IF($Y36&gt;$Z36,$Z36,IF($Y36&gt;$AE36,$Y36,$AE36*(1+'Factors &amp; Percentages'!$B$3))))</f>
        <v>45202.5</v>
      </c>
      <c r="AB36" s="59">
        <f t="shared" si="5"/>
        <v>45202.5</v>
      </c>
      <c r="AC36" s="42"/>
      <c r="AD36" s="43">
        <f t="shared" si="6"/>
        <v>45202.5</v>
      </c>
      <c r="AE36" s="75">
        <v>43050</v>
      </c>
      <c r="AF36" s="32"/>
      <c r="AG36" s="33"/>
      <c r="AH36" s="33"/>
      <c r="AI36" s="33"/>
      <c r="AJ36" s="5"/>
    </row>
    <row r="37" spans="1:36" s="89" customFormat="1" x14ac:dyDescent="0.3">
      <c r="A37" s="90" t="s">
        <v>81</v>
      </c>
      <c r="B37" s="78" t="s">
        <v>75</v>
      </c>
      <c r="C37" s="78" t="s">
        <v>75</v>
      </c>
      <c r="D37" s="79"/>
      <c r="E37" s="80">
        <f t="shared" si="7"/>
        <v>25303.07185022402</v>
      </c>
      <c r="F37" s="80"/>
      <c r="G37" s="80">
        <v>39337</v>
      </c>
      <c r="H37" s="80">
        <v>50320</v>
      </c>
      <c r="I37" s="80">
        <v>42905</v>
      </c>
      <c r="J37" s="80">
        <v>6473</v>
      </c>
      <c r="K37" s="80">
        <v>202</v>
      </c>
      <c r="L37" s="80"/>
      <c r="M37" s="81">
        <f t="shared" si="1"/>
        <v>50340.2</v>
      </c>
      <c r="N37" s="81">
        <f t="shared" si="2"/>
        <v>43552.3</v>
      </c>
      <c r="O37" s="81">
        <f>SUM(M37*'Factors &amp; Percentages'!$E$6+N37*'Factors &amp; Percentages'!$E$7)</f>
        <v>6608.2937391636751</v>
      </c>
      <c r="P37" s="82">
        <v>0.7</v>
      </c>
      <c r="Q37" s="81">
        <f>P37*'Factors &amp; Percentages'!$E$10</f>
        <v>7675.9030538181196</v>
      </c>
      <c r="R37" s="83">
        <v>622</v>
      </c>
      <c r="S37" s="81">
        <f>R37*'Factors &amp; Percentages'!$E$13</f>
        <v>1104.4732852393665</v>
      </c>
      <c r="T37" s="84">
        <f>33+18</f>
        <v>51</v>
      </c>
      <c r="U37" s="84">
        <v>110</v>
      </c>
      <c r="V37" s="84">
        <v>12114</v>
      </c>
      <c r="W37" s="81">
        <f>T37*'Factors &amp; Percentages'!$E$16+U37*'Factors &amp; Percentages'!$E$17+V37*'Factors &amp; Percentages'!$E$18</f>
        <v>9914.4017720028587</v>
      </c>
      <c r="X37" s="113"/>
      <c r="Y37" s="81">
        <f t="shared" si="3"/>
        <v>25303.07185022402</v>
      </c>
      <c r="Z37" s="85">
        <f t="shared" si="4"/>
        <v>25303.07185022402</v>
      </c>
      <c r="AA37" s="80">
        <f>IF($AE37&gt;$Z37,$AE37*(1+'Factors &amp; Percentages'!$B$3),IF($Y37&gt;$Z37,$Z37,IF($Y37&gt;$AE37,$Y37,$AE37*(1+'Factors &amp; Percentages'!$B$3))))</f>
        <v>25303.07185022402</v>
      </c>
      <c r="AB37" s="80">
        <f t="shared" si="5"/>
        <v>25303.07185022402</v>
      </c>
      <c r="AC37" s="85"/>
      <c r="AD37" s="80">
        <f t="shared" si="6"/>
        <v>25303.07185022402</v>
      </c>
      <c r="AE37" s="86">
        <v>18000</v>
      </c>
      <c r="AF37" s="87"/>
      <c r="AG37" s="88"/>
      <c r="AH37" s="88"/>
      <c r="AI37" s="88"/>
      <c r="AJ37" s="5"/>
    </row>
    <row r="38" spans="1:36" x14ac:dyDescent="0.3">
      <c r="A38" s="91" t="s">
        <v>10</v>
      </c>
      <c r="B38" s="76" t="s">
        <v>8</v>
      </c>
      <c r="C38" s="76" t="s">
        <v>8</v>
      </c>
      <c r="D38" s="31"/>
      <c r="E38" s="43">
        <f t="shared" si="7"/>
        <v>9997.65</v>
      </c>
      <c r="F38" s="29"/>
      <c r="G38" s="51">
        <v>13890</v>
      </c>
      <c r="H38" s="59">
        <v>15381</v>
      </c>
      <c r="I38" s="51">
        <v>10303</v>
      </c>
      <c r="J38" s="59">
        <v>75197</v>
      </c>
      <c r="K38" s="49">
        <v>1289</v>
      </c>
      <c r="L38" s="29"/>
      <c r="M38" s="62">
        <f t="shared" si="1"/>
        <v>15509.9</v>
      </c>
      <c r="N38" s="58">
        <f t="shared" si="2"/>
        <v>17822.7</v>
      </c>
      <c r="O38" s="46">
        <f>SUM(M38*'Factors &amp; Percentages'!$E$6+N38*'Factors &amp; Percentages'!$E$7)</f>
        <v>2293.8944434843838</v>
      </c>
      <c r="P38" s="65">
        <v>1</v>
      </c>
      <c r="Q38" s="46">
        <f>P38*'Factors &amp; Percentages'!$E$10</f>
        <v>10965.575791168743</v>
      </c>
      <c r="R38" s="69">
        <v>374</v>
      </c>
      <c r="S38" s="46">
        <f>R38*'Factors &amp; Percentages'!$E$13</f>
        <v>664.10451556193425</v>
      </c>
      <c r="T38" s="63">
        <v>17</v>
      </c>
      <c r="U38" s="64">
        <v>42</v>
      </c>
      <c r="V38" s="63">
        <v>4160</v>
      </c>
      <c r="W38" s="46">
        <f>T38*'Factors &amp; Percentages'!$E$16+U38*'Factors &amp; Percentages'!$E$17+V38*'Factors &amp; Percentages'!$E$18</f>
        <v>3421.6416213541061</v>
      </c>
      <c r="X38" s="114"/>
      <c r="Y38" s="58">
        <f t="shared" si="3"/>
        <v>17345.216371569168</v>
      </c>
      <c r="Z38" s="71">
        <f t="shared" si="4"/>
        <v>9997.65</v>
      </c>
      <c r="AA38" s="51">
        <f>IF($AE38&gt;$Z38,$AE38*(1+'Factors &amp; Percentages'!$B$3),IF($Y38&gt;$Z38,$Z38,IF($Y38&gt;$AE38,$Y38,$AE38*(1+'Factors &amp; Percentages'!$B$3))))</f>
        <v>9997.65</v>
      </c>
      <c r="AB38" s="59">
        <f t="shared" si="5"/>
        <v>9997.65</v>
      </c>
      <c r="AC38" s="42"/>
      <c r="AD38" s="43">
        <f t="shared" si="6"/>
        <v>9997.65</v>
      </c>
      <c r="AE38" s="75">
        <v>3000</v>
      </c>
      <c r="AF38" s="32"/>
      <c r="AG38" s="33"/>
      <c r="AH38" s="33"/>
      <c r="AI38" s="33"/>
      <c r="AJ38" s="5"/>
    </row>
    <row r="39" spans="1:36" s="89" customFormat="1" x14ac:dyDescent="0.3">
      <c r="A39" s="90" t="s">
        <v>82</v>
      </c>
      <c r="B39" s="78" t="s">
        <v>75</v>
      </c>
      <c r="C39" s="78" t="s">
        <v>75</v>
      </c>
      <c r="D39" s="79"/>
      <c r="E39" s="80">
        <f t="shared" si="7"/>
        <v>20527.155601360129</v>
      </c>
      <c r="F39" s="80"/>
      <c r="G39" s="80">
        <v>14215</v>
      </c>
      <c r="H39" s="80">
        <v>24152</v>
      </c>
      <c r="I39" s="80">
        <v>31722</v>
      </c>
      <c r="J39" s="80">
        <v>0</v>
      </c>
      <c r="K39" s="80">
        <v>865</v>
      </c>
      <c r="L39" s="80"/>
      <c r="M39" s="81">
        <f t="shared" si="1"/>
        <v>24238.5</v>
      </c>
      <c r="N39" s="81">
        <f t="shared" si="2"/>
        <v>31722</v>
      </c>
      <c r="O39" s="81">
        <f>SUM(M39*'Factors &amp; Percentages'!$E$6+N39*'Factors &amp; Percentages'!$E$7)</f>
        <v>3811.383520974905</v>
      </c>
      <c r="P39" s="82">
        <v>0.25</v>
      </c>
      <c r="Q39" s="81">
        <f>P39*'Factors &amp; Percentages'!$E$10</f>
        <v>2741.3939477921858</v>
      </c>
      <c r="R39" s="83">
        <v>6153</v>
      </c>
      <c r="S39" s="81">
        <f>R39*'Factors &amp; Percentages'!$E$13</f>
        <v>10925.762257359844</v>
      </c>
      <c r="T39" s="84">
        <v>14</v>
      </c>
      <c r="U39" s="84">
        <v>40</v>
      </c>
      <c r="V39" s="84">
        <v>4197</v>
      </c>
      <c r="W39" s="81">
        <f>T39*'Factors &amp; Percentages'!$E$16+U39*'Factors &amp; Percentages'!$E$17+V39*'Factors &amp; Percentages'!$E$18</f>
        <v>3048.615875233193</v>
      </c>
      <c r="X39" s="113"/>
      <c r="Y39" s="81">
        <f t="shared" si="3"/>
        <v>20527.155601360129</v>
      </c>
      <c r="Z39" s="85">
        <f t="shared" si="4"/>
        <v>20527.155601360129</v>
      </c>
      <c r="AA39" s="80">
        <f>IF($AE39&gt;$Z39,$AE39*(1+'Factors &amp; Percentages'!$B$3),IF($Y39&gt;$Z39,$Z39,IF($Y39&gt;$AE39,$Y39,$AE39*(1+'Factors &amp; Percentages'!$B$3))))</f>
        <v>20527.155601360129</v>
      </c>
      <c r="AB39" s="80">
        <f t="shared" si="5"/>
        <v>20527.155601360129</v>
      </c>
      <c r="AC39" s="85"/>
      <c r="AD39" s="80">
        <f t="shared" si="6"/>
        <v>20527.155601360129</v>
      </c>
      <c r="AE39" s="86">
        <v>8000</v>
      </c>
      <c r="AF39" s="87"/>
      <c r="AG39" s="88"/>
      <c r="AH39" s="88"/>
      <c r="AI39" s="88"/>
      <c r="AJ39" s="5"/>
    </row>
    <row r="40" spans="1:36" x14ac:dyDescent="0.3">
      <c r="A40" s="91" t="s">
        <v>215</v>
      </c>
      <c r="B40" s="76" t="s">
        <v>8</v>
      </c>
      <c r="C40" s="76" t="s">
        <v>175</v>
      </c>
      <c r="D40" s="31"/>
      <c r="E40" s="43">
        <f t="shared" si="7"/>
        <v>19442.173041700335</v>
      </c>
      <c r="F40" s="29"/>
      <c r="G40" s="51">
        <f>42311-10075</f>
        <v>32236</v>
      </c>
      <c r="H40" s="59">
        <v>39573</v>
      </c>
      <c r="I40" s="51">
        <v>58762</v>
      </c>
      <c r="J40" s="59">
        <v>0</v>
      </c>
      <c r="K40" s="49">
        <v>0</v>
      </c>
      <c r="L40" s="29"/>
      <c r="M40" s="62">
        <f t="shared" si="1"/>
        <v>39573</v>
      </c>
      <c r="N40" s="58">
        <f t="shared" si="2"/>
        <v>58762</v>
      </c>
      <c r="O40" s="46">
        <f>SUM(M40*'Factors &amp; Percentages'!$E$6+N40*'Factors &amp; Percentages'!$E$7)</f>
        <v>6630.8196992551893</v>
      </c>
      <c r="P40" s="65">
        <v>0.5</v>
      </c>
      <c r="Q40" s="46">
        <f>P40*'Factors &amp; Percentages'!$E$10</f>
        <v>5482.7878955843717</v>
      </c>
      <c r="R40" s="69">
        <v>1275</v>
      </c>
      <c r="S40" s="46">
        <f>R40*'Factors &amp; Percentages'!$E$13</f>
        <v>2263.9926666884121</v>
      </c>
      <c r="T40" s="63">
        <v>17</v>
      </c>
      <c r="U40" s="64">
        <v>52</v>
      </c>
      <c r="V40" s="63">
        <v>12601</v>
      </c>
      <c r="W40" s="46">
        <f>T40*'Factors &amp; Percentages'!$E$16+U40*'Factors &amp; Percentages'!$E$17+V40*'Factors &amp; Percentages'!$E$18</f>
        <v>5064.5727801723606</v>
      </c>
      <c r="X40" s="114"/>
      <c r="Y40" s="58">
        <f t="shared" si="3"/>
        <v>19442.173041700335</v>
      </c>
      <c r="Z40" s="71">
        <f t="shared" si="4"/>
        <v>19442.173041700335</v>
      </c>
      <c r="AA40" s="51">
        <f>IF($AE40&gt;$Z40,$AE40*(1+'Factors &amp; Percentages'!$B$3),IF($Y40&gt;$Z40,$Z40,IF($Y40&gt;$AE40,$Y40,$AE40*(1+'Factors &amp; Percentages'!$B$3))))</f>
        <v>19442.173041700335</v>
      </c>
      <c r="AB40" s="59">
        <f t="shared" si="5"/>
        <v>19442.173041700335</v>
      </c>
      <c r="AC40" s="42"/>
      <c r="AD40" s="43">
        <f t="shared" si="6"/>
        <v>19442.173041700335</v>
      </c>
      <c r="AE40" s="75">
        <v>12000</v>
      </c>
      <c r="AF40" s="32"/>
      <c r="AG40" s="33"/>
      <c r="AH40" s="33"/>
      <c r="AI40" s="33"/>
      <c r="AJ40" s="5"/>
    </row>
    <row r="41" spans="1:36" s="89" customFormat="1" x14ac:dyDescent="0.3">
      <c r="A41" s="90" t="s">
        <v>11</v>
      </c>
      <c r="B41" s="78" t="s">
        <v>8</v>
      </c>
      <c r="C41" s="78" t="s">
        <v>8</v>
      </c>
      <c r="D41" s="79"/>
      <c r="E41" s="80">
        <f t="shared" si="7"/>
        <v>11866.050000000001</v>
      </c>
      <c r="F41" s="80"/>
      <c r="G41" s="80">
        <v>15870</v>
      </c>
      <c r="H41" s="80">
        <v>21311</v>
      </c>
      <c r="I41" s="80">
        <v>6313</v>
      </c>
      <c r="J41" s="80">
        <v>4290</v>
      </c>
      <c r="K41" s="80">
        <v>0</v>
      </c>
      <c r="L41" s="80"/>
      <c r="M41" s="81">
        <f t="shared" si="1"/>
        <v>21311</v>
      </c>
      <c r="N41" s="81">
        <f t="shared" si="2"/>
        <v>6742</v>
      </c>
      <c r="O41" s="81">
        <f>SUM(M41*'Factors &amp; Percentages'!$E$6+N41*'Factors &amp; Percentages'!$E$7)</f>
        <v>2112.7745510952213</v>
      </c>
      <c r="P41" s="82">
        <v>0.25</v>
      </c>
      <c r="Q41" s="81">
        <f>P41*'Factors &amp; Percentages'!$E$10</f>
        <v>2741.3939477921858</v>
      </c>
      <c r="R41" s="83">
        <v>1510</v>
      </c>
      <c r="S41" s="81">
        <f>R41*'Factors &amp; Percentages'!$E$13</f>
        <v>2681.2775895682371</v>
      </c>
      <c r="T41" s="84">
        <v>18</v>
      </c>
      <c r="U41" s="84">
        <v>36</v>
      </c>
      <c r="V41" s="84">
        <v>938</v>
      </c>
      <c r="W41" s="81">
        <f>T41*'Factors &amp; Percentages'!$E$16+U41*'Factors &amp; Percentages'!$E$17+V41*'Factors &amp; Percentages'!$E$18</f>
        <v>2869.8753603329824</v>
      </c>
      <c r="X41" s="113"/>
      <c r="Y41" s="81">
        <f t="shared" si="3"/>
        <v>10405.321448788627</v>
      </c>
      <c r="Z41" s="85">
        <f t="shared" si="4"/>
        <v>10405.321448788627</v>
      </c>
      <c r="AA41" s="80">
        <f>IF($AE41&gt;$Z41,$AE41*(1+'Factors &amp; Percentages'!$B$3),IF($Y41&gt;$Z41,$Z41,IF($Y41&gt;$AE41,$Y41,$AE41*(1+'Factors &amp; Percentages'!$B$3))))</f>
        <v>11866.050000000001</v>
      </c>
      <c r="AB41" s="80">
        <f t="shared" si="5"/>
        <v>11866.050000000001</v>
      </c>
      <c r="AC41" s="85"/>
      <c r="AD41" s="80">
        <f t="shared" si="6"/>
        <v>11866.050000000001</v>
      </c>
      <c r="AE41" s="86">
        <v>11301</v>
      </c>
      <c r="AF41" s="87"/>
      <c r="AG41" s="88"/>
      <c r="AH41" s="88"/>
      <c r="AI41" s="88"/>
      <c r="AJ41" s="5"/>
    </row>
    <row r="42" spans="1:36" x14ac:dyDescent="0.3">
      <c r="A42" s="91" t="s">
        <v>100</v>
      </c>
      <c r="B42" s="76" t="s">
        <v>43</v>
      </c>
      <c r="C42" s="76" t="s">
        <v>99</v>
      </c>
      <c r="D42" s="31"/>
      <c r="E42" s="43">
        <f t="shared" si="7"/>
        <v>19604.244040742029</v>
      </c>
      <c r="F42" s="29"/>
      <c r="G42" s="51">
        <v>8512</v>
      </c>
      <c r="H42" s="59">
        <v>10659</v>
      </c>
      <c r="I42" s="51">
        <v>43372</v>
      </c>
      <c r="J42" s="59">
        <v>9357</v>
      </c>
      <c r="K42" s="49">
        <v>0</v>
      </c>
      <c r="L42" s="29"/>
      <c r="M42" s="62">
        <f t="shared" si="1"/>
        <v>10659</v>
      </c>
      <c r="N42" s="58">
        <f t="shared" si="2"/>
        <v>44307.7</v>
      </c>
      <c r="O42" s="46">
        <f>SUM(M42*'Factors &amp; Percentages'!$E$6+N42*'Factors &amp; Percentages'!$E$7)</f>
        <v>3453.5531920997705</v>
      </c>
      <c r="P42" s="70">
        <v>0.21562500000000001</v>
      </c>
      <c r="Q42" s="46">
        <f>P42*'Factors &amp; Percentages'!$E$10</f>
        <v>2364.4522799707602</v>
      </c>
      <c r="R42" s="69">
        <v>5976</v>
      </c>
      <c r="S42" s="46">
        <f>R42*'Factors &amp; Percentages'!$E$13</f>
        <v>10611.466804807804</v>
      </c>
      <c r="T42" s="63">
        <v>20</v>
      </c>
      <c r="U42" s="64">
        <v>35</v>
      </c>
      <c r="V42" s="63">
        <v>1479</v>
      </c>
      <c r="W42" s="46">
        <f>T42*'Factors &amp; Percentages'!$E$16+U42*'Factors &amp; Percentages'!$E$17+V42*'Factors &amp; Percentages'!$E$18</f>
        <v>3174.7717638636987</v>
      </c>
      <c r="X42" s="114"/>
      <c r="Y42" s="58">
        <f t="shared" si="3"/>
        <v>19604.244040742029</v>
      </c>
      <c r="Z42" s="71">
        <f t="shared" si="4"/>
        <v>19604.244040742029</v>
      </c>
      <c r="AA42" s="51">
        <f>IF($AE42&gt;$Z42,$AE42*(1+'Factors &amp; Percentages'!$B$3),IF($Y42&gt;$Z42,$Z42,IF($Y42&gt;$AE42,$Y42,$AE42*(1+'Factors &amp; Percentages'!$B$3))))</f>
        <v>19604.244040742029</v>
      </c>
      <c r="AB42" s="59">
        <f t="shared" si="5"/>
        <v>19604.244040742029</v>
      </c>
      <c r="AC42" s="42"/>
      <c r="AD42" s="43">
        <f t="shared" si="6"/>
        <v>19604.244040742029</v>
      </c>
      <c r="AE42" s="75">
        <v>8223</v>
      </c>
      <c r="AF42" s="32"/>
      <c r="AG42" s="33"/>
      <c r="AH42" s="33"/>
      <c r="AI42" s="33"/>
      <c r="AJ42" s="5"/>
    </row>
    <row r="43" spans="1:36" s="89" customFormat="1" x14ac:dyDescent="0.3">
      <c r="A43" s="90" t="s">
        <v>62</v>
      </c>
      <c r="B43" s="78" t="s">
        <v>8</v>
      </c>
      <c r="C43" s="78" t="s">
        <v>59</v>
      </c>
      <c r="D43" s="79"/>
      <c r="E43" s="80">
        <f t="shared" si="7"/>
        <v>35443.869487555043</v>
      </c>
      <c r="F43" s="80"/>
      <c r="G43" s="80">
        <f>46276-1000</f>
        <v>45276</v>
      </c>
      <c r="H43" s="80">
        <v>65017</v>
      </c>
      <c r="I43" s="80">
        <v>98153</v>
      </c>
      <c r="J43" s="80">
        <v>10229</v>
      </c>
      <c r="K43" s="80">
        <v>10789</v>
      </c>
      <c r="L43" s="80"/>
      <c r="M43" s="81">
        <f t="shared" si="1"/>
        <v>66095.899999999994</v>
      </c>
      <c r="N43" s="81">
        <f t="shared" si="2"/>
        <v>99175.9</v>
      </c>
      <c r="O43" s="81">
        <f>SUM(M43*'Factors &amp; Percentages'!$E$6+N43*'Factors &amp; Percentages'!$E$7)</f>
        <v>11135.283389263721</v>
      </c>
      <c r="P43" s="82">
        <v>0.5</v>
      </c>
      <c r="Q43" s="81">
        <f>P43*'Factors &amp; Percentages'!$E$10</f>
        <v>5482.7878955843717</v>
      </c>
      <c r="R43" s="83">
        <v>4504</v>
      </c>
      <c r="S43" s="81">
        <f>R43*'Factors &amp; Percentages'!$E$13</f>
        <v>7997.6650751094967</v>
      </c>
      <c r="T43" s="84">
        <v>69</v>
      </c>
      <c r="U43" s="84">
        <v>85</v>
      </c>
      <c r="V43" s="84">
        <v>8082</v>
      </c>
      <c r="W43" s="81">
        <f>T43*'Factors &amp; Percentages'!$E$16+U43*'Factors &amp; Percentages'!$E$17+V43*'Factors &amp; Percentages'!$E$18</f>
        <v>10828.133127597457</v>
      </c>
      <c r="X43" s="113"/>
      <c r="Y43" s="81">
        <f t="shared" si="3"/>
        <v>35443.869487555043</v>
      </c>
      <c r="Z43" s="85">
        <f t="shared" si="4"/>
        <v>35443.869487555043</v>
      </c>
      <c r="AA43" s="80">
        <f>IF($AE43&gt;$Z43,$AE43*(1+'Factors &amp; Percentages'!$B$3),IF($Y43&gt;$Z43,$Z43,IF($Y43&gt;$AE43,$Y43,$AE43*(1+'Factors &amp; Percentages'!$B$3))))</f>
        <v>35443.869487555043</v>
      </c>
      <c r="AB43" s="80">
        <f t="shared" si="5"/>
        <v>35443.869487555043</v>
      </c>
      <c r="AC43" s="85"/>
      <c r="AD43" s="80">
        <f t="shared" si="6"/>
        <v>35443.869487555043</v>
      </c>
      <c r="AE43" s="86">
        <v>33600</v>
      </c>
      <c r="AF43" s="87"/>
      <c r="AG43" s="88"/>
      <c r="AH43" s="88"/>
      <c r="AI43" s="88"/>
      <c r="AJ43" s="5"/>
    </row>
    <row r="44" spans="1:36" x14ac:dyDescent="0.3">
      <c r="A44" s="91" t="s">
        <v>63</v>
      </c>
      <c r="B44" s="76" t="s">
        <v>8</v>
      </c>
      <c r="C44" s="76" t="s">
        <v>59</v>
      </c>
      <c r="D44" s="31"/>
      <c r="E44" s="43">
        <f t="shared" si="7"/>
        <v>33075</v>
      </c>
      <c r="F44" s="29"/>
      <c r="G44" s="51">
        <f>72902-1000</f>
        <v>71902</v>
      </c>
      <c r="H44" s="59">
        <v>97588</v>
      </c>
      <c r="I44" s="51">
        <v>63874</v>
      </c>
      <c r="J44" s="59">
        <v>273461</v>
      </c>
      <c r="K44" s="49">
        <v>53351</v>
      </c>
      <c r="L44" s="29"/>
      <c r="M44" s="62">
        <f t="shared" si="1"/>
        <v>102923.1</v>
      </c>
      <c r="N44" s="58">
        <f t="shared" si="2"/>
        <v>91220.1</v>
      </c>
      <c r="O44" s="46">
        <f>SUM(M44*'Factors &amp; Percentages'!$E$6+N44*'Factors &amp; Percentages'!$E$7)</f>
        <v>13638.353239630032</v>
      </c>
      <c r="P44" s="65">
        <v>0.5</v>
      </c>
      <c r="Q44" s="46">
        <f>P44*'Factors &amp; Percentages'!$E$10</f>
        <v>5482.7878955843717</v>
      </c>
      <c r="R44" s="69">
        <v>738</v>
      </c>
      <c r="S44" s="46">
        <f>R44*'Factors &amp; Percentages'!$E$13</f>
        <v>1310.4522258949398</v>
      </c>
      <c r="T44" s="63">
        <v>62</v>
      </c>
      <c r="U44" s="64">
        <v>94</v>
      </c>
      <c r="V44" s="63">
        <v>446</v>
      </c>
      <c r="W44" s="46">
        <f>T44*'Factors &amp; Percentages'!$E$16+U44*'Factors &amp; Percentages'!$E$17+V44*'Factors &amp; Percentages'!$E$18</f>
        <v>8864.0297731792962</v>
      </c>
      <c r="X44" s="114"/>
      <c r="Y44" s="58">
        <f t="shared" si="3"/>
        <v>29295.623134288642</v>
      </c>
      <c r="Z44" s="71">
        <f t="shared" si="4"/>
        <v>29295.623134288642</v>
      </c>
      <c r="AA44" s="51">
        <f>IF($AE44&gt;$Z44,$AE44*(1+'Factors &amp; Percentages'!$B$3),IF($Y44&gt;$Z44,$Z44,IF($Y44&gt;$AE44,$Y44,$AE44*(1+'Factors &amp; Percentages'!$B$3))))</f>
        <v>33075</v>
      </c>
      <c r="AB44" s="59">
        <f t="shared" si="5"/>
        <v>33075</v>
      </c>
      <c r="AC44" s="42"/>
      <c r="AD44" s="43">
        <f t="shared" si="6"/>
        <v>33075</v>
      </c>
      <c r="AE44" s="75">
        <v>31500</v>
      </c>
      <c r="AF44" s="32"/>
      <c r="AG44" s="33"/>
      <c r="AH44" s="33"/>
      <c r="AI44" s="33"/>
      <c r="AJ44" s="5"/>
    </row>
    <row r="45" spans="1:36" s="89" customFormat="1" x14ac:dyDescent="0.3">
      <c r="A45" s="90" t="s">
        <v>240</v>
      </c>
      <c r="B45" s="78" t="s">
        <v>8</v>
      </c>
      <c r="C45" s="78" t="s">
        <v>59</v>
      </c>
      <c r="D45" s="79"/>
      <c r="E45" s="80">
        <f t="shared" si="7"/>
        <v>14299.95</v>
      </c>
      <c r="F45" s="80"/>
      <c r="G45" s="80">
        <v>20952</v>
      </c>
      <c r="H45" s="80">
        <v>28505</v>
      </c>
      <c r="I45" s="80">
        <v>10076</v>
      </c>
      <c r="J45" s="80">
        <v>0</v>
      </c>
      <c r="K45" s="80">
        <v>0</v>
      </c>
      <c r="L45" s="80"/>
      <c r="M45" s="81">
        <f t="shared" si="1"/>
        <v>28505</v>
      </c>
      <c r="N45" s="81">
        <f t="shared" si="2"/>
        <v>10076</v>
      </c>
      <c r="O45" s="81">
        <f>SUM(M45*'Factors &amp; Percentages'!$E$6+N45*'Factors &amp; Percentages'!$E$7)</f>
        <v>2887.9405102669016</v>
      </c>
      <c r="P45" s="82">
        <v>0.2</v>
      </c>
      <c r="Q45" s="81">
        <f>P45*'Factors &amp; Percentages'!$E$10</f>
        <v>2193.1151582337488</v>
      </c>
      <c r="R45" s="83">
        <v>1516</v>
      </c>
      <c r="S45" s="81">
        <f>R45*'Factors &amp; Percentages'!$E$13</f>
        <v>2691.9316727055943</v>
      </c>
      <c r="T45" s="84">
        <v>17</v>
      </c>
      <c r="U45" s="84">
        <v>33</v>
      </c>
      <c r="V45" s="84">
        <v>8111</v>
      </c>
      <c r="W45" s="81">
        <f>T45*'Factors &amp; Percentages'!$E$16+U45*'Factors &amp; Percentages'!$E$17+V45*'Factors &amp; Percentages'!$E$18</f>
        <v>3945.1986187137491</v>
      </c>
      <c r="X45" s="113"/>
      <c r="Y45" s="81">
        <f t="shared" si="3"/>
        <v>11718.185959919992</v>
      </c>
      <c r="Z45" s="85">
        <f t="shared" si="4"/>
        <v>11718.185959919992</v>
      </c>
      <c r="AA45" s="80">
        <f>IF($AE45&gt;$Z45,$AE45*(1+'Factors &amp; Percentages'!$B$3),IF($Y45&gt;$Z45,$Z45,IF($Y45&gt;$AE45,$Y45,$AE45*(1+'Factors &amp; Percentages'!$B$3))))</f>
        <v>14299.95</v>
      </c>
      <c r="AB45" s="80">
        <f t="shared" si="5"/>
        <v>14299.95</v>
      </c>
      <c r="AC45" s="85"/>
      <c r="AD45" s="80">
        <f t="shared" si="6"/>
        <v>14299.95</v>
      </c>
      <c r="AE45" s="86">
        <v>13619</v>
      </c>
      <c r="AF45" s="87"/>
      <c r="AG45" s="88"/>
      <c r="AH45" s="88"/>
      <c r="AI45" s="88"/>
      <c r="AJ45" s="5"/>
    </row>
    <row r="46" spans="1:36" x14ac:dyDescent="0.3">
      <c r="A46" s="91" t="s">
        <v>64</v>
      </c>
      <c r="B46" s="76" t="s">
        <v>8</v>
      </c>
      <c r="C46" s="77" t="s">
        <v>59</v>
      </c>
      <c r="D46" s="31"/>
      <c r="E46" s="43">
        <f t="shared" si="7"/>
        <v>18296.25</v>
      </c>
      <c r="F46" s="29"/>
      <c r="G46" s="51">
        <v>20824</v>
      </c>
      <c r="H46" s="59">
        <v>30324</v>
      </c>
      <c r="I46" s="51">
        <v>21451</v>
      </c>
      <c r="J46" s="59">
        <v>4476</v>
      </c>
      <c r="K46" s="49">
        <v>21206</v>
      </c>
      <c r="L46" s="29"/>
      <c r="M46" s="62">
        <f t="shared" si="1"/>
        <v>32444.6</v>
      </c>
      <c r="N46" s="58">
        <f t="shared" si="2"/>
        <v>21898.6</v>
      </c>
      <c r="O46" s="46">
        <f>SUM(M46*'Factors &amp; Percentages'!$E$6+N46*'Factors &amp; Percentages'!$E$7)</f>
        <v>3897.7630898576535</v>
      </c>
      <c r="P46" s="65">
        <v>0.5</v>
      </c>
      <c r="Q46" s="46">
        <f>P46*'Factors &amp; Percentages'!$E$10</f>
        <v>5482.7878955843717</v>
      </c>
      <c r="R46" s="69">
        <v>323</v>
      </c>
      <c r="S46" s="46">
        <f>R46*'Factors &amp; Percentages'!$E$13</f>
        <v>573.54480889439776</v>
      </c>
      <c r="T46" s="63">
        <v>13</v>
      </c>
      <c r="U46" s="64">
        <v>26</v>
      </c>
      <c r="V46" s="63">
        <v>6682</v>
      </c>
      <c r="W46" s="46">
        <f>T46*'Factors &amp; Percentages'!$E$16+U46*'Factors &amp; Percentages'!$E$17+V46*'Factors &amp; Percentages'!$E$18</f>
        <v>3113.7680737620408</v>
      </c>
      <c r="X46" s="114"/>
      <c r="Y46" s="58">
        <f t="shared" si="3"/>
        <v>13067.863868098464</v>
      </c>
      <c r="Z46" s="71">
        <f t="shared" si="4"/>
        <v>13067.863868098464</v>
      </c>
      <c r="AA46" s="51">
        <f>IF($AE46&gt;$Z46,$AE46*(1+'Factors &amp; Percentages'!$B$3),IF($Y46&gt;$Z46,$Z46,IF($Y46&gt;$AE46,$Y46,$AE46*(1+'Factors &amp; Percentages'!$B$3))))</f>
        <v>18296.25</v>
      </c>
      <c r="AB46" s="59">
        <f t="shared" si="5"/>
        <v>18296.25</v>
      </c>
      <c r="AC46" s="42"/>
      <c r="AD46" s="43">
        <f t="shared" si="6"/>
        <v>18296.25</v>
      </c>
      <c r="AE46" s="75">
        <v>17425</v>
      </c>
      <c r="AF46" s="32"/>
      <c r="AG46" s="33"/>
      <c r="AH46" s="33"/>
      <c r="AI46" s="33"/>
      <c r="AJ46" s="5"/>
    </row>
    <row r="47" spans="1:36" s="89" customFormat="1" x14ac:dyDescent="0.3">
      <c r="A47" s="90" t="s">
        <v>65</v>
      </c>
      <c r="B47" s="78" t="s">
        <v>8</v>
      </c>
      <c r="C47" s="78" t="s">
        <v>59</v>
      </c>
      <c r="D47" s="79"/>
      <c r="E47" s="80">
        <f t="shared" si="7"/>
        <v>9130.8758665084661</v>
      </c>
      <c r="F47" s="80"/>
      <c r="G47" s="80">
        <v>31724</v>
      </c>
      <c r="H47" s="80">
        <v>43302</v>
      </c>
      <c r="I47" s="80">
        <v>5743</v>
      </c>
      <c r="J47" s="80">
        <v>323</v>
      </c>
      <c r="K47" s="80">
        <v>351</v>
      </c>
      <c r="L47" s="80"/>
      <c r="M47" s="81">
        <f t="shared" si="1"/>
        <v>43337.1</v>
      </c>
      <c r="N47" s="81">
        <f t="shared" si="2"/>
        <v>5775.3</v>
      </c>
      <c r="O47" s="81">
        <f>SUM(M47*'Factors &amp; Percentages'!$E$6+N47*'Factors &amp; Percentages'!$E$7)</f>
        <v>3831.8462382654857</v>
      </c>
      <c r="P47" s="82">
        <v>0.1</v>
      </c>
      <c r="Q47" s="81">
        <f>P47*'Factors &amp; Percentages'!$E$10</f>
        <v>1096.5575791168744</v>
      </c>
      <c r="R47" s="83">
        <v>489</v>
      </c>
      <c r="S47" s="81">
        <f>R47*'Factors &amp; Percentages'!$E$13</f>
        <v>868.30777569461452</v>
      </c>
      <c r="T47" s="84">
        <v>18</v>
      </c>
      <c r="U47" s="84">
        <v>44</v>
      </c>
      <c r="V47" s="84">
        <v>2788</v>
      </c>
      <c r="W47" s="81">
        <f>T47*'Factors &amp; Percentages'!$E$16+U47*'Factors &amp; Percentages'!$E$17+V47*'Factors &amp; Percentages'!$E$18</f>
        <v>3334.1642734314914</v>
      </c>
      <c r="X47" s="113"/>
      <c r="Y47" s="81">
        <f t="shared" si="3"/>
        <v>9130.8758665084661</v>
      </c>
      <c r="Z47" s="85">
        <f t="shared" si="4"/>
        <v>9130.8758665084661</v>
      </c>
      <c r="AA47" s="80">
        <f>IF($AE47&gt;$Z47,$AE47*(1+'Factors &amp; Percentages'!$B$3),IF($Y47&gt;$Z47,$Z47,IF($Y47&gt;$AE47,$Y47,$AE47*(1+'Factors &amp; Percentages'!$B$3))))</f>
        <v>9130.8758665084661</v>
      </c>
      <c r="AB47" s="80">
        <f t="shared" si="5"/>
        <v>9130.8758665084661</v>
      </c>
      <c r="AC47" s="85"/>
      <c r="AD47" s="80">
        <f t="shared" si="6"/>
        <v>9130.8758665084661</v>
      </c>
      <c r="AE47" s="86">
        <v>9000</v>
      </c>
      <c r="AF47" s="87"/>
      <c r="AG47" s="88"/>
      <c r="AH47" s="88"/>
      <c r="AI47" s="88"/>
      <c r="AJ47" s="5"/>
    </row>
    <row r="48" spans="1:36" x14ac:dyDescent="0.3">
      <c r="A48" s="91" t="s">
        <v>66</v>
      </c>
      <c r="B48" s="76" t="s">
        <v>8</v>
      </c>
      <c r="C48" s="76" t="s">
        <v>59</v>
      </c>
      <c r="D48" s="31"/>
      <c r="E48" s="43">
        <f t="shared" si="7"/>
        <v>23544.3</v>
      </c>
      <c r="F48" s="29"/>
      <c r="G48" s="51">
        <v>32973</v>
      </c>
      <c r="H48" s="59">
        <v>36222</v>
      </c>
      <c r="I48" s="51">
        <v>27743</v>
      </c>
      <c r="J48" s="59">
        <v>7376</v>
      </c>
      <c r="K48" s="49">
        <v>2108</v>
      </c>
      <c r="L48" s="29"/>
      <c r="M48" s="62">
        <f t="shared" si="1"/>
        <v>36432.800000000003</v>
      </c>
      <c r="N48" s="58">
        <f t="shared" si="2"/>
        <v>28480.6</v>
      </c>
      <c r="O48" s="46">
        <f>SUM(M48*'Factors &amp; Percentages'!$E$6+N48*'Factors &amp; Percentages'!$E$7)</f>
        <v>4604.6613969880764</v>
      </c>
      <c r="P48" s="65">
        <v>1</v>
      </c>
      <c r="Q48" s="46">
        <f>P48*'Factors &amp; Percentages'!$E$10</f>
        <v>10965.575791168743</v>
      </c>
      <c r="R48" s="69">
        <v>1663</v>
      </c>
      <c r="S48" s="46">
        <f>R48*'Factors &amp; Percentages'!$E$13</f>
        <v>2952.9567095708467</v>
      </c>
      <c r="T48" s="63">
        <v>28</v>
      </c>
      <c r="U48" s="64">
        <v>68</v>
      </c>
      <c r="V48" s="63">
        <v>12766</v>
      </c>
      <c r="W48" s="46">
        <f>T48*'Factors &amp; Percentages'!$E$16+U48*'Factors &amp; Percentages'!$E$17+V48*'Factors &amp; Percentages'!$E$18</f>
        <v>6639.9577044182388</v>
      </c>
      <c r="X48" s="114"/>
      <c r="Y48" s="58">
        <f t="shared" si="3"/>
        <v>25163.151602145903</v>
      </c>
      <c r="Z48" s="71">
        <f t="shared" si="4"/>
        <v>23544.3</v>
      </c>
      <c r="AA48" s="51">
        <f>IF($AE48&gt;$Z48,$AE48*(1+'Factors &amp; Percentages'!$B$3),IF($Y48&gt;$Z48,$Z48,IF($Y48&gt;$AE48,$Y48,$AE48*(1+'Factors &amp; Percentages'!$B$3))))</f>
        <v>23544.3</v>
      </c>
      <c r="AB48" s="59">
        <f t="shared" si="5"/>
        <v>23544.3</v>
      </c>
      <c r="AC48" s="42"/>
      <c r="AD48" s="43">
        <f t="shared" si="6"/>
        <v>23544.3</v>
      </c>
      <c r="AE48" s="75">
        <v>19467</v>
      </c>
      <c r="AF48" s="32"/>
      <c r="AG48" s="33"/>
      <c r="AH48" s="33"/>
      <c r="AI48" s="33"/>
      <c r="AJ48" s="5"/>
    </row>
    <row r="49" spans="1:36" s="89" customFormat="1" x14ac:dyDescent="0.3">
      <c r="A49" s="90" t="s">
        <v>67</v>
      </c>
      <c r="B49" s="78" t="s">
        <v>8</v>
      </c>
      <c r="C49" s="78" t="s">
        <v>59</v>
      </c>
      <c r="D49" s="79"/>
      <c r="E49" s="80">
        <f t="shared" si="7"/>
        <v>16091.578145784724</v>
      </c>
      <c r="F49" s="80"/>
      <c r="G49" s="80">
        <v>26809</v>
      </c>
      <c r="H49" s="80">
        <v>32600</v>
      </c>
      <c r="I49" s="80">
        <v>10554</v>
      </c>
      <c r="J49" s="80">
        <v>5787</v>
      </c>
      <c r="K49" s="80">
        <v>2435</v>
      </c>
      <c r="L49" s="80"/>
      <c r="M49" s="81">
        <f t="shared" si="1"/>
        <v>32843.5</v>
      </c>
      <c r="N49" s="81">
        <f t="shared" si="2"/>
        <v>11132.7</v>
      </c>
      <c r="O49" s="81">
        <f>SUM(M49*'Factors &amp; Percentages'!$E$6+N49*'Factors &amp; Percentages'!$E$7)</f>
        <v>3299.5671597836154</v>
      </c>
      <c r="P49" s="82">
        <v>0.5</v>
      </c>
      <c r="Q49" s="81">
        <f>P49*'Factors &amp; Percentages'!$E$10</f>
        <v>5482.7878955843717</v>
      </c>
      <c r="R49" s="83">
        <v>1005</v>
      </c>
      <c r="S49" s="81">
        <f>R49*'Factors &amp; Percentages'!$E$13</f>
        <v>1784.5589255073367</v>
      </c>
      <c r="T49" s="84">
        <v>25</v>
      </c>
      <c r="U49" s="84">
        <v>72</v>
      </c>
      <c r="V49" s="84">
        <v>7901</v>
      </c>
      <c r="W49" s="81">
        <f>T49*'Factors &amp; Percentages'!$E$16+U49*'Factors &amp; Percentages'!$E$17+V49*'Factors &amp; Percentages'!$E$18</f>
        <v>5524.6641649093999</v>
      </c>
      <c r="X49" s="113"/>
      <c r="Y49" s="81">
        <f t="shared" si="3"/>
        <v>16091.578145784724</v>
      </c>
      <c r="Z49" s="85">
        <f t="shared" si="4"/>
        <v>16091.578145784724</v>
      </c>
      <c r="AA49" s="80">
        <f>IF($AE49&gt;$Z49,$AE49*(1+'Factors &amp; Percentages'!$B$3),IF($Y49&gt;$Z49,$Z49,IF($Y49&gt;$AE49,$Y49,$AE49*(1+'Factors &amp; Percentages'!$B$3))))</f>
        <v>16091.578145784724</v>
      </c>
      <c r="AB49" s="80">
        <f t="shared" si="5"/>
        <v>16091.578145784724</v>
      </c>
      <c r="AC49" s="85"/>
      <c r="AD49" s="80">
        <f t="shared" si="6"/>
        <v>16091.578145784724</v>
      </c>
      <c r="AE49" s="86">
        <v>12750</v>
      </c>
      <c r="AF49" s="87"/>
      <c r="AG49" s="88"/>
      <c r="AH49" s="88"/>
      <c r="AI49" s="88"/>
      <c r="AJ49" s="5"/>
    </row>
    <row r="50" spans="1:36" x14ac:dyDescent="0.3">
      <c r="A50" s="91" t="s">
        <v>68</v>
      </c>
      <c r="B50" s="76" t="s">
        <v>8</v>
      </c>
      <c r="C50" s="76" t="s">
        <v>59</v>
      </c>
      <c r="D50" s="31"/>
      <c r="E50" s="43">
        <f t="shared" si="7"/>
        <v>4285.45</v>
      </c>
      <c r="F50" s="29"/>
      <c r="G50" s="51">
        <v>6593</v>
      </c>
      <c r="H50" s="59">
        <v>6593</v>
      </c>
      <c r="I50" s="51">
        <v>0</v>
      </c>
      <c r="J50" s="59">
        <v>0</v>
      </c>
      <c r="K50" s="49">
        <v>0</v>
      </c>
      <c r="L50" s="29"/>
      <c r="M50" s="62">
        <f t="shared" si="1"/>
        <v>6593</v>
      </c>
      <c r="N50" s="58">
        <f t="shared" si="2"/>
        <v>0</v>
      </c>
      <c r="O50" s="46">
        <f>SUM(M50*'Factors &amp; Percentages'!$E$6+N50*'Factors &amp; Percentages'!$E$7)</f>
        <v>531.50632821577756</v>
      </c>
      <c r="P50" s="65">
        <v>0.1</v>
      </c>
      <c r="Q50" s="46">
        <f>P50*'Factors &amp; Percentages'!$E$10</f>
        <v>1096.5575791168744</v>
      </c>
      <c r="R50" s="69">
        <v>8325</v>
      </c>
      <c r="S50" s="46">
        <f>R50*'Factors &amp; Percentages'!$E$13</f>
        <v>14782.540353083161</v>
      </c>
      <c r="T50" s="63">
        <v>5</v>
      </c>
      <c r="U50" s="64">
        <v>17</v>
      </c>
      <c r="V50" s="63">
        <v>30</v>
      </c>
      <c r="W50" s="46">
        <f>T50*'Factors &amp; Percentages'!$E$16+U50*'Factors &amp; Percentages'!$E$17+V50*'Factors &amp; Percentages'!$E$18</f>
        <v>882.80457684140049</v>
      </c>
      <c r="X50" s="114"/>
      <c r="Y50" s="58">
        <f t="shared" si="3"/>
        <v>17293.408837257215</v>
      </c>
      <c r="Z50" s="71">
        <f t="shared" si="4"/>
        <v>4285.45</v>
      </c>
      <c r="AA50" s="51">
        <f>IF($AE50&gt;$Z50,$AE50*(1+'Factors &amp; Percentages'!$B$3),IF($Y50&gt;$Z50,$Z50,IF($Y50&gt;$AE50,$Y50,$AE50*(1+'Factors &amp; Percentages'!$B$3))))</f>
        <v>4285.45</v>
      </c>
      <c r="AB50" s="59">
        <f t="shared" si="5"/>
        <v>4285.45</v>
      </c>
      <c r="AC50" s="42"/>
      <c r="AD50" s="43">
        <f t="shared" si="6"/>
        <v>4285.45</v>
      </c>
      <c r="AE50" s="75">
        <v>0</v>
      </c>
      <c r="AF50" s="32"/>
      <c r="AG50" s="33"/>
      <c r="AH50" s="33"/>
      <c r="AI50" s="33"/>
      <c r="AJ50" s="5"/>
    </row>
    <row r="51" spans="1:36" s="89" customFormat="1" x14ac:dyDescent="0.3">
      <c r="A51" s="90" t="s">
        <v>125</v>
      </c>
      <c r="B51" s="78" t="s">
        <v>43</v>
      </c>
      <c r="C51" s="78" t="s">
        <v>123</v>
      </c>
      <c r="D51" s="79"/>
      <c r="E51" s="80">
        <f t="shared" si="7"/>
        <v>31641.75</v>
      </c>
      <c r="F51" s="80"/>
      <c r="G51" s="80">
        <v>41758</v>
      </c>
      <c r="H51" s="80">
        <v>65369</v>
      </c>
      <c r="I51" s="80">
        <v>32844</v>
      </c>
      <c r="J51" s="80">
        <v>0</v>
      </c>
      <c r="K51" s="80">
        <v>368</v>
      </c>
      <c r="L51" s="80"/>
      <c r="M51" s="81">
        <f t="shared" si="1"/>
        <v>65405.8</v>
      </c>
      <c r="N51" s="81">
        <f t="shared" si="2"/>
        <v>32844</v>
      </c>
      <c r="O51" s="81">
        <f>SUM(M51*'Factors &amp; Percentages'!$E$6+N51*'Factors &amp; Percentages'!$E$7)</f>
        <v>7195.8522449303864</v>
      </c>
      <c r="P51" s="82">
        <v>1</v>
      </c>
      <c r="Q51" s="81">
        <f>P51*'Factors &amp; Percentages'!$E$10</f>
        <v>10965.575791168743</v>
      </c>
      <c r="R51" s="83">
        <v>2304</v>
      </c>
      <c r="S51" s="81">
        <f>R51*'Factors &amp; Percentages'!$E$13</f>
        <v>4091.1679247451775</v>
      </c>
      <c r="T51" s="84">
        <v>25</v>
      </c>
      <c r="U51" s="84">
        <v>82</v>
      </c>
      <c r="V51" s="84">
        <v>9821</v>
      </c>
      <c r="W51" s="81">
        <f>T51*'Factors &amp; Percentages'!$E$16+U51*'Factors &amp; Percentages'!$E$17+V51*'Factors &amp; Percentages'!$E$18</f>
        <v>6036.9729718047347</v>
      </c>
      <c r="X51" s="113"/>
      <c r="Y51" s="81">
        <f t="shared" si="3"/>
        <v>28289.568932649043</v>
      </c>
      <c r="Z51" s="85">
        <f t="shared" si="4"/>
        <v>28289.568932649043</v>
      </c>
      <c r="AA51" s="80">
        <f>IF($AE51&gt;$Z51,$AE51*(1+'Factors &amp; Percentages'!$B$3),IF($Y51&gt;$Z51,$Z51,IF($Y51&gt;$AE51,$Y51,$AE51*(1+'Factors &amp; Percentages'!$B$3))))</f>
        <v>31641.75</v>
      </c>
      <c r="AB51" s="80">
        <f t="shared" si="5"/>
        <v>31641.75</v>
      </c>
      <c r="AC51" s="85"/>
      <c r="AD51" s="80">
        <f t="shared" si="6"/>
        <v>31641.75</v>
      </c>
      <c r="AE51" s="86">
        <v>30135</v>
      </c>
      <c r="AF51" s="87"/>
      <c r="AG51" s="88"/>
      <c r="AH51" s="88"/>
      <c r="AI51" s="88"/>
      <c r="AJ51" s="5"/>
    </row>
    <row r="52" spans="1:36" x14ac:dyDescent="0.3">
      <c r="A52" s="91" t="s">
        <v>83</v>
      </c>
      <c r="B52" s="76" t="s">
        <v>75</v>
      </c>
      <c r="C52" s="76" t="s">
        <v>75</v>
      </c>
      <c r="D52" s="31"/>
      <c r="E52" s="43">
        <f t="shared" si="7"/>
        <v>37549.763551258897</v>
      </c>
      <c r="F52" s="29"/>
      <c r="G52" s="51">
        <f>71669-3821</f>
        <v>67848</v>
      </c>
      <c r="H52" s="59">
        <v>73524</v>
      </c>
      <c r="I52" s="51">
        <v>66698</v>
      </c>
      <c r="J52" s="59">
        <v>21921</v>
      </c>
      <c r="K52" s="49">
        <v>15272</v>
      </c>
      <c r="L52" s="29"/>
      <c r="M52" s="62">
        <f t="shared" si="1"/>
        <v>75051.199999999997</v>
      </c>
      <c r="N52" s="58">
        <f t="shared" si="2"/>
        <v>68890.100000000006</v>
      </c>
      <c r="O52" s="46">
        <f>SUM(M52*'Factors &amp; Percentages'!$E$6+N52*'Factors &amp; Percentages'!$E$7)</f>
        <v>10083.96753746646</v>
      </c>
      <c r="P52" s="65">
        <v>0.5</v>
      </c>
      <c r="Q52" s="46">
        <f>P52*'Factors &amp; Percentages'!$E$10</f>
        <v>5482.7878955843717</v>
      </c>
      <c r="R52" s="69">
        <v>9172</v>
      </c>
      <c r="S52" s="46">
        <f>R52*'Factors &amp; Percentages'!$E$13</f>
        <v>16286.541755973425</v>
      </c>
      <c r="T52" s="63">
        <v>18</v>
      </c>
      <c r="U52" s="64">
        <v>127</v>
      </c>
      <c r="V52" s="63">
        <v>7824</v>
      </c>
      <c r="W52" s="46">
        <f>T52*'Factors &amp; Percentages'!$E$16+U52*'Factors &amp; Percentages'!$E$17+V52*'Factors &amp; Percentages'!$E$18</f>
        <v>5696.4663622346416</v>
      </c>
      <c r="X52" s="114"/>
      <c r="Y52" s="58">
        <f t="shared" si="3"/>
        <v>37549.763551258897</v>
      </c>
      <c r="Z52" s="71">
        <f t="shared" si="4"/>
        <v>37549.763551258897</v>
      </c>
      <c r="AA52" s="51">
        <f>IF($AE52&gt;$Z52,$AE52*(1+'Factors &amp; Percentages'!$B$3),IF($Y52&gt;$Z52,$Z52,IF($Y52&gt;$AE52,$Y52,$AE52*(1+'Factors &amp; Percentages'!$B$3))))</f>
        <v>37549.763551258897</v>
      </c>
      <c r="AB52" s="59">
        <f t="shared" si="5"/>
        <v>37549.763551258897</v>
      </c>
      <c r="AC52" s="42"/>
      <c r="AD52" s="43">
        <f t="shared" si="6"/>
        <v>37549.763551258897</v>
      </c>
      <c r="AE52" s="75">
        <v>30000</v>
      </c>
      <c r="AF52" s="32"/>
      <c r="AG52" s="33"/>
      <c r="AH52" s="33"/>
      <c r="AI52" s="33"/>
      <c r="AJ52" s="5"/>
    </row>
    <row r="53" spans="1:36" s="89" customFormat="1" x14ac:dyDescent="0.3">
      <c r="A53" s="90" t="s">
        <v>84</v>
      </c>
      <c r="B53" s="78" t="s">
        <v>75</v>
      </c>
      <c r="C53" s="78" t="s">
        <v>75</v>
      </c>
      <c r="D53" s="79"/>
      <c r="E53" s="80">
        <f t="shared" si="7"/>
        <v>29219.4</v>
      </c>
      <c r="F53" s="80"/>
      <c r="G53" s="80">
        <f>87307-44494</f>
        <v>42813</v>
      </c>
      <c r="H53" s="80">
        <v>68504</v>
      </c>
      <c r="I53" s="80">
        <v>-17749</v>
      </c>
      <c r="J53" s="80">
        <v>16319</v>
      </c>
      <c r="K53" s="80">
        <v>0</v>
      </c>
      <c r="L53" s="80"/>
      <c r="M53" s="81">
        <f t="shared" si="1"/>
        <v>68504</v>
      </c>
      <c r="N53" s="81">
        <f t="shared" si="2"/>
        <v>-16117.1</v>
      </c>
      <c r="O53" s="81">
        <f>SUM(M53*'Factors &amp; Percentages'!$E$6+N53*'Factors &amp; Percentages'!$E$7)</f>
        <v>4578.8988912938421</v>
      </c>
      <c r="P53" s="82">
        <v>0.5</v>
      </c>
      <c r="Q53" s="81">
        <f>P53*'Factors &amp; Percentages'!$E$10</f>
        <v>5482.7878955843717</v>
      </c>
      <c r="R53" s="83">
        <v>1334</v>
      </c>
      <c r="S53" s="81">
        <f>R53*'Factors &amp; Percentages'!$E$13</f>
        <v>2368.7578175390918</v>
      </c>
      <c r="T53" s="84">
        <v>35</v>
      </c>
      <c r="U53" s="84">
        <v>89</v>
      </c>
      <c r="V53" s="84">
        <v>7511</v>
      </c>
      <c r="W53" s="81">
        <f>T53*'Factors &amp; Percentages'!$E$16+U53*'Factors &amp; Percentages'!$E$17+V53*'Factors &amp; Percentages'!$E$18</f>
        <v>6907.2445741835963</v>
      </c>
      <c r="X53" s="113"/>
      <c r="Y53" s="81">
        <f t="shared" si="3"/>
        <v>19337.6891786009</v>
      </c>
      <c r="Z53" s="85">
        <f t="shared" si="4"/>
        <v>19337.6891786009</v>
      </c>
      <c r="AA53" s="80">
        <f>IF($AE53&gt;$Z53,$AE53*(1+'Factors &amp; Percentages'!$B$3),IF($Y53&gt;$Z53,$Z53,IF($Y53&gt;$AE53,$Y53,$AE53*(1+'Factors &amp; Percentages'!$B$3))))</f>
        <v>29219.4</v>
      </c>
      <c r="AB53" s="80">
        <f t="shared" si="5"/>
        <v>29219.4</v>
      </c>
      <c r="AC53" s="85"/>
      <c r="AD53" s="80">
        <f t="shared" si="6"/>
        <v>29219.4</v>
      </c>
      <c r="AE53" s="86">
        <v>27828</v>
      </c>
      <c r="AF53" s="87"/>
      <c r="AG53" s="88"/>
      <c r="AH53" s="88"/>
      <c r="AI53" s="88"/>
      <c r="AJ53" s="5"/>
    </row>
    <row r="54" spans="1:36" x14ac:dyDescent="0.3">
      <c r="A54" s="91" t="s">
        <v>85</v>
      </c>
      <c r="B54" s="76" t="s">
        <v>75</v>
      </c>
      <c r="C54" s="76" t="s">
        <v>75</v>
      </c>
      <c r="D54" s="31"/>
      <c r="E54" s="43">
        <f t="shared" si="7"/>
        <v>48878.427512417438</v>
      </c>
      <c r="F54" s="29"/>
      <c r="G54" s="51">
        <v>45638</v>
      </c>
      <c r="H54" s="59">
        <v>53135</v>
      </c>
      <c r="I54" s="51">
        <v>239450</v>
      </c>
      <c r="J54" s="59">
        <v>199819</v>
      </c>
      <c r="K54" s="49">
        <v>6281</v>
      </c>
      <c r="L54" s="29"/>
      <c r="M54" s="62">
        <f t="shared" si="1"/>
        <v>53763.1</v>
      </c>
      <c r="N54" s="58">
        <f t="shared" si="2"/>
        <v>259431.9</v>
      </c>
      <c r="O54" s="46">
        <f>SUM(M54*'Factors &amp; Percentages'!$E$6+N54*'Factors &amp; Percentages'!$E$7)</f>
        <v>19524.19823918055</v>
      </c>
      <c r="P54" s="65">
        <v>0.4</v>
      </c>
      <c r="Q54" s="46">
        <f>P54*'Factors &amp; Percentages'!$E$10</f>
        <v>4386.2303164674977</v>
      </c>
      <c r="R54" s="69">
        <v>10886</v>
      </c>
      <c r="S54" s="46">
        <f>R54*'Factors &amp; Percentages'!$E$13</f>
        <v>19330.058172211808</v>
      </c>
      <c r="T54" s="63">
        <v>31</v>
      </c>
      <c r="U54" s="64">
        <v>56</v>
      </c>
      <c r="V54" s="63">
        <v>6247</v>
      </c>
      <c r="W54" s="46">
        <f>T54*'Factors &amp; Percentages'!$E$16+U54*'Factors &amp; Percentages'!$E$17+V54*'Factors &amp; Percentages'!$E$18</f>
        <v>5637.9407845575824</v>
      </c>
      <c r="X54" s="114"/>
      <c r="Y54" s="58">
        <f t="shared" si="3"/>
        <v>48878.427512417438</v>
      </c>
      <c r="Z54" s="71">
        <f t="shared" si="4"/>
        <v>48878.427512417438</v>
      </c>
      <c r="AA54" s="51">
        <f>IF($AE54&gt;$Z54,$AE54*(1+'Factors &amp; Percentages'!$B$3),IF($Y54&gt;$Z54,$Z54,IF($Y54&gt;$AE54,$Y54,$AE54*(1+'Factors &amp; Percentages'!$B$3))))</f>
        <v>48878.427512417438</v>
      </c>
      <c r="AB54" s="59">
        <f t="shared" si="5"/>
        <v>48878.427512417438</v>
      </c>
      <c r="AC54" s="42"/>
      <c r="AD54" s="43">
        <f t="shared" si="6"/>
        <v>48878.427512417438</v>
      </c>
      <c r="AE54" s="75">
        <v>33438</v>
      </c>
      <c r="AF54" s="32"/>
      <c r="AG54" s="33"/>
      <c r="AH54" s="33"/>
      <c r="AI54" s="33"/>
      <c r="AJ54" s="5"/>
    </row>
    <row r="55" spans="1:36" s="89" customFormat="1" x14ac:dyDescent="0.3">
      <c r="A55" s="90" t="s">
        <v>86</v>
      </c>
      <c r="B55" s="78" t="s">
        <v>75</v>
      </c>
      <c r="C55" s="78" t="s">
        <v>75</v>
      </c>
      <c r="D55" s="79"/>
      <c r="E55" s="80">
        <f t="shared" si="7"/>
        <v>126000</v>
      </c>
      <c r="F55" s="80"/>
      <c r="G55" s="80">
        <f>329427-57982</f>
        <v>271445</v>
      </c>
      <c r="H55" s="80">
        <v>281586</v>
      </c>
      <c r="I55" s="80">
        <v>147714</v>
      </c>
      <c r="J55" s="80">
        <v>25613</v>
      </c>
      <c r="K55" s="80">
        <v>316</v>
      </c>
      <c r="L55" s="80"/>
      <c r="M55" s="81">
        <f t="shared" si="1"/>
        <v>281617.59999999998</v>
      </c>
      <c r="N55" s="81">
        <f t="shared" si="2"/>
        <v>150275.29999999999</v>
      </c>
      <c r="O55" s="81">
        <f>SUM(M55*'Factors &amp; Percentages'!$E$6+N55*'Factors &amp; Percentages'!$E$7)</f>
        <v>31501.865284768166</v>
      </c>
      <c r="P55" s="82">
        <v>1</v>
      </c>
      <c r="Q55" s="81">
        <f>P55*'Factors &amp; Percentages'!$E$10</f>
        <v>10965.575791168743</v>
      </c>
      <c r="R55" s="83">
        <v>11466</v>
      </c>
      <c r="S55" s="81">
        <f>R55*'Factors &amp; Percentages'!$E$13</f>
        <v>20359.952875489675</v>
      </c>
      <c r="T55" s="84">
        <v>25</v>
      </c>
      <c r="U55" s="84">
        <v>82</v>
      </c>
      <c r="V55" s="84">
        <v>1360</v>
      </c>
      <c r="W55" s="81">
        <f>T55*'Factors &amp; Percentages'!$E$16+U55*'Factors &amp; Percentages'!$E$17+V55*'Factors &amp; Percentages'!$E$18</f>
        <v>4569.9900367303871</v>
      </c>
      <c r="X55" s="113"/>
      <c r="Y55" s="81">
        <f t="shared" si="3"/>
        <v>67397.383988156973</v>
      </c>
      <c r="Z55" s="85">
        <f t="shared" si="4"/>
        <v>67397.383988156973</v>
      </c>
      <c r="AA55" s="80">
        <f>IF($AE55&gt;$Z55,$AE55*(1+'Factors &amp; Percentages'!$B$3),IF($Y55&gt;$Z55,$Z55,IF($Y55&gt;$AE55,$Y55,$AE55*(1+'Factors &amp; Percentages'!$B$3))))</f>
        <v>126000</v>
      </c>
      <c r="AB55" s="80">
        <f t="shared" si="5"/>
        <v>126000</v>
      </c>
      <c r="AC55" s="85"/>
      <c r="AD55" s="80">
        <f t="shared" si="6"/>
        <v>126000</v>
      </c>
      <c r="AE55" s="86">
        <v>120000</v>
      </c>
      <c r="AF55" s="87"/>
      <c r="AG55" s="88"/>
      <c r="AH55" s="88"/>
      <c r="AI55" s="88"/>
      <c r="AJ55" s="5"/>
    </row>
    <row r="56" spans="1:36" x14ac:dyDescent="0.3">
      <c r="A56" s="91" t="s">
        <v>87</v>
      </c>
      <c r="B56" s="76" t="s">
        <v>75</v>
      </c>
      <c r="C56" s="76" t="s">
        <v>75</v>
      </c>
      <c r="D56" s="31"/>
      <c r="E56" s="43">
        <f t="shared" si="7"/>
        <v>42000</v>
      </c>
      <c r="F56" s="29"/>
      <c r="G56" s="51">
        <f>67211-16435</f>
        <v>50776</v>
      </c>
      <c r="H56" s="59">
        <v>71223</v>
      </c>
      <c r="I56" s="51">
        <v>15653</v>
      </c>
      <c r="J56" s="59">
        <v>8781</v>
      </c>
      <c r="K56" s="49">
        <v>233</v>
      </c>
      <c r="L56" s="29"/>
      <c r="M56" s="62">
        <f t="shared" si="1"/>
        <v>71246.3</v>
      </c>
      <c r="N56" s="58">
        <f t="shared" si="2"/>
        <v>16531.099999999999</v>
      </c>
      <c r="O56" s="46">
        <f>SUM(M56*'Factors &amp; Percentages'!$E$6+N56*'Factors &amp; Percentages'!$E$7)</f>
        <v>6711.5582340499068</v>
      </c>
      <c r="P56" s="65">
        <v>0.25</v>
      </c>
      <c r="Q56" s="46">
        <f>P56*'Factors &amp; Percentages'!$E$10</f>
        <v>2741.3939477921858</v>
      </c>
      <c r="R56" s="69">
        <v>9211</v>
      </c>
      <c r="S56" s="46">
        <f>R56*'Factors &amp; Percentages'!$E$13</f>
        <v>16355.793296366246</v>
      </c>
      <c r="T56" s="63">
        <v>44</v>
      </c>
      <c r="U56" s="64">
        <v>65</v>
      </c>
      <c r="V56" s="63">
        <v>9988</v>
      </c>
      <c r="W56" s="46">
        <f>T56*'Factors &amp; Percentages'!$E$16+U56*'Factors &amp; Percentages'!$E$17+V56*'Factors &amp; Percentages'!$E$18</f>
        <v>7936.786189874827</v>
      </c>
      <c r="X56" s="114"/>
      <c r="Y56" s="58">
        <f t="shared" si="3"/>
        <v>33745.53166808316</v>
      </c>
      <c r="Z56" s="71">
        <f t="shared" si="4"/>
        <v>33745.53166808316</v>
      </c>
      <c r="AA56" s="51">
        <f>IF($AE56&gt;$Z56,$AE56*(1+'Factors &amp; Percentages'!$B$3),IF($Y56&gt;$Z56,$Z56,IF($Y56&gt;$AE56,$Y56,$AE56*(1+'Factors &amp; Percentages'!$B$3))))</f>
        <v>42000</v>
      </c>
      <c r="AB56" s="59">
        <f t="shared" si="5"/>
        <v>42000</v>
      </c>
      <c r="AC56" s="42"/>
      <c r="AD56" s="43">
        <f t="shared" si="6"/>
        <v>42000</v>
      </c>
      <c r="AE56" s="75">
        <v>40000</v>
      </c>
      <c r="AF56" s="32"/>
      <c r="AG56" s="33"/>
      <c r="AH56" s="33"/>
      <c r="AI56" s="33"/>
      <c r="AJ56" s="5"/>
    </row>
    <row r="57" spans="1:36" s="89" customFormat="1" x14ac:dyDescent="0.3">
      <c r="A57" s="90" t="s">
        <v>99</v>
      </c>
      <c r="B57" s="78" t="s">
        <v>43</v>
      </c>
      <c r="C57" s="78" t="s">
        <v>99</v>
      </c>
      <c r="D57" s="79"/>
      <c r="E57" s="80">
        <f t="shared" si="7"/>
        <v>18929.677917615249</v>
      </c>
      <c r="F57" s="80"/>
      <c r="G57" s="80">
        <f>31717-1274</f>
        <v>30443</v>
      </c>
      <c r="H57" s="80">
        <v>42969</v>
      </c>
      <c r="I57" s="80">
        <v>33696</v>
      </c>
      <c r="J57" s="80">
        <v>1438</v>
      </c>
      <c r="K57" s="80">
        <v>3</v>
      </c>
      <c r="L57" s="80"/>
      <c r="M57" s="81">
        <f t="shared" si="1"/>
        <v>42969.3</v>
      </c>
      <c r="N57" s="81">
        <f t="shared" si="2"/>
        <v>33839.800000000003</v>
      </c>
      <c r="O57" s="81">
        <f>SUM(M57*'Factors &amp; Percentages'!$E$6+N57*'Factors &amp; Percentages'!$E$7)</f>
        <v>5445.3992710324464</v>
      </c>
      <c r="P57" s="82">
        <v>0.41562500000000002</v>
      </c>
      <c r="Q57" s="81">
        <f>P57*'Factors &amp; Percentages'!$E$10</f>
        <v>4557.567438204509</v>
      </c>
      <c r="R57" s="83">
        <v>2043</v>
      </c>
      <c r="S57" s="81">
        <f>R57*'Factors &amp; Percentages'!$E$13</f>
        <v>3627.7153082701379</v>
      </c>
      <c r="T57" s="84">
        <v>28</v>
      </c>
      <c r="U57" s="84">
        <v>76</v>
      </c>
      <c r="V57" s="84">
        <v>4204</v>
      </c>
      <c r="W57" s="81">
        <f>T57*'Factors &amp; Percentages'!$E$16+U57*'Factors &amp; Percentages'!$E$17+V57*'Factors &amp; Percentages'!$E$18</f>
        <v>5298.9959001081552</v>
      </c>
      <c r="X57" s="113"/>
      <c r="Y57" s="81">
        <f t="shared" si="3"/>
        <v>18929.677917615249</v>
      </c>
      <c r="Z57" s="85">
        <f t="shared" si="4"/>
        <v>18929.677917615249</v>
      </c>
      <c r="AA57" s="80">
        <f>IF($AE57&gt;$Z57,$AE57*(1+'Factors &amp; Percentages'!$B$3),IF($Y57&gt;$Z57,$Z57,IF($Y57&gt;$AE57,$Y57,$AE57*(1+'Factors &amp; Percentages'!$B$3))))</f>
        <v>18929.677917615249</v>
      </c>
      <c r="AB57" s="80">
        <f t="shared" si="5"/>
        <v>18929.677917615249</v>
      </c>
      <c r="AC57" s="85"/>
      <c r="AD57" s="80">
        <f t="shared" si="6"/>
        <v>18929.677917615249</v>
      </c>
      <c r="AE57" s="86">
        <v>11894</v>
      </c>
      <c r="AF57" s="87"/>
      <c r="AG57" s="88"/>
      <c r="AH57" s="88"/>
      <c r="AI57" s="88"/>
      <c r="AJ57" s="5"/>
    </row>
    <row r="58" spans="1:36" x14ac:dyDescent="0.3">
      <c r="A58" s="91" t="s">
        <v>101</v>
      </c>
      <c r="B58" s="76" t="s">
        <v>43</v>
      </c>
      <c r="C58" s="76" t="s">
        <v>99</v>
      </c>
      <c r="D58" s="31"/>
      <c r="E58" s="43">
        <f t="shared" si="7"/>
        <v>11234.072838407999</v>
      </c>
      <c r="F58" s="29"/>
      <c r="G58" s="51">
        <v>13562</v>
      </c>
      <c r="H58" s="59">
        <v>15032</v>
      </c>
      <c r="I58" s="51">
        <v>45176</v>
      </c>
      <c r="J58" s="59">
        <v>14122</v>
      </c>
      <c r="K58" s="49">
        <v>6870</v>
      </c>
      <c r="L58" s="29"/>
      <c r="M58" s="62">
        <f t="shared" si="1"/>
        <v>15719</v>
      </c>
      <c r="N58" s="58">
        <f t="shared" si="2"/>
        <v>46588.2</v>
      </c>
      <c r="O58" s="46">
        <f>SUM(M58*'Factors &amp; Percentages'!$E$6+N58*'Factors &amp; Percentages'!$E$7)</f>
        <v>3994.9995221752679</v>
      </c>
      <c r="P58" s="70">
        <v>0.41562500000000002</v>
      </c>
      <c r="Q58" s="46">
        <f>P58*'Factors &amp; Percentages'!$E$10</f>
        <v>4557.567438204509</v>
      </c>
      <c r="R58" s="69">
        <v>238</v>
      </c>
      <c r="S58" s="46">
        <f>R58*'Factors &amp; Percentages'!$E$13</f>
        <v>422.61196444850361</v>
      </c>
      <c r="T58" s="63">
        <v>10</v>
      </c>
      <c r="U58" s="64">
        <v>30</v>
      </c>
      <c r="V58" s="63">
        <v>3319</v>
      </c>
      <c r="W58" s="46">
        <f>T58*'Factors &amp; Percentages'!$E$16+U58*'Factors &amp; Percentages'!$E$17+V58*'Factors &amp; Percentages'!$E$18</f>
        <v>2258.8939135797195</v>
      </c>
      <c r="X58" s="114"/>
      <c r="Y58" s="58">
        <f t="shared" si="3"/>
        <v>11234.072838407999</v>
      </c>
      <c r="Z58" s="71">
        <f t="shared" si="4"/>
        <v>11234.072838407999</v>
      </c>
      <c r="AA58" s="51">
        <f>IF($AE58&gt;$Z58,$AE58*(1+'Factors &amp; Percentages'!$B$3),IF($Y58&gt;$Z58,$Z58,IF($Y58&gt;$AE58,$Y58,$AE58*(1+'Factors &amp; Percentages'!$B$3))))</f>
        <v>11234.072838407999</v>
      </c>
      <c r="AB58" s="59">
        <f t="shared" si="5"/>
        <v>11234.072838407999</v>
      </c>
      <c r="AC58" s="42"/>
      <c r="AD58" s="43">
        <f t="shared" si="6"/>
        <v>11234.072838407999</v>
      </c>
      <c r="AE58" s="75">
        <v>0</v>
      </c>
      <c r="AF58" s="32"/>
      <c r="AG58" s="33"/>
      <c r="AH58" s="33"/>
      <c r="AI58" s="33"/>
      <c r="AJ58" s="5"/>
    </row>
    <row r="59" spans="1:36" s="89" customFormat="1" x14ac:dyDescent="0.3">
      <c r="A59" s="90" t="s">
        <v>149</v>
      </c>
      <c r="B59" s="78" t="s">
        <v>43</v>
      </c>
      <c r="C59" s="78" t="s">
        <v>145</v>
      </c>
      <c r="D59" s="79"/>
      <c r="E59" s="80">
        <f t="shared" si="7"/>
        <v>29953.3</v>
      </c>
      <c r="F59" s="80"/>
      <c r="G59" s="80">
        <v>32528</v>
      </c>
      <c r="H59" s="80">
        <v>46082</v>
      </c>
      <c r="I59" s="80">
        <v>34077</v>
      </c>
      <c r="J59" s="80">
        <v>4564</v>
      </c>
      <c r="K59" s="80">
        <v>869</v>
      </c>
      <c r="L59" s="80"/>
      <c r="M59" s="81">
        <f t="shared" si="1"/>
        <v>46168.9</v>
      </c>
      <c r="N59" s="81">
        <f t="shared" si="2"/>
        <v>34533.4</v>
      </c>
      <c r="O59" s="81">
        <f>SUM(M59*'Factors &amp; Percentages'!$E$6+N59*'Factors &amp; Percentages'!$E$7)</f>
        <v>5743.9516279319505</v>
      </c>
      <c r="P59" s="82">
        <v>0.33</v>
      </c>
      <c r="Q59" s="81">
        <f>P59*'Factors &amp; Percentages'!$E$10</f>
        <v>3618.6400110856853</v>
      </c>
      <c r="R59" s="83">
        <v>11640</v>
      </c>
      <c r="S59" s="81">
        <f>R59*'Factors &amp; Percentages'!$E$13</f>
        <v>20668.921286473033</v>
      </c>
      <c r="T59" s="84">
        <v>30</v>
      </c>
      <c r="U59" s="84">
        <v>73</v>
      </c>
      <c r="V59" s="84">
        <v>3660</v>
      </c>
      <c r="W59" s="81">
        <f>T59*'Factors &amp; Percentages'!$E$16+U59*'Factors &amp; Percentages'!$E$17+V59*'Factors &amp; Percentages'!$E$18</f>
        <v>5379.8899397911709</v>
      </c>
      <c r="X59" s="113"/>
      <c r="Y59" s="81">
        <f t="shared" si="3"/>
        <v>35411.402865281838</v>
      </c>
      <c r="Z59" s="85">
        <f t="shared" si="4"/>
        <v>29953.3</v>
      </c>
      <c r="AA59" s="80">
        <f>IF($AE59&gt;$Z59,$AE59*(1+'Factors &amp; Percentages'!$B$3),IF($Y59&gt;$Z59,$Z59,IF($Y59&gt;$AE59,$Y59,$AE59*(1+'Factors &amp; Percentages'!$B$3))))</f>
        <v>29953.3</v>
      </c>
      <c r="AB59" s="80">
        <f t="shared" si="5"/>
        <v>29953.3</v>
      </c>
      <c r="AC59" s="85"/>
      <c r="AD59" s="80">
        <f t="shared" si="6"/>
        <v>29953.3</v>
      </c>
      <c r="AE59" s="86">
        <v>16000</v>
      </c>
      <c r="AF59" s="87"/>
      <c r="AG59" s="88"/>
      <c r="AH59" s="88"/>
      <c r="AI59" s="88"/>
      <c r="AJ59" s="5"/>
    </row>
    <row r="60" spans="1:36" x14ac:dyDescent="0.3">
      <c r="A60" s="91" t="s">
        <v>48</v>
      </c>
      <c r="B60" s="76" t="s">
        <v>43</v>
      </c>
      <c r="C60" s="76" t="s">
        <v>42</v>
      </c>
      <c r="D60" s="31"/>
      <c r="E60" s="43">
        <f t="shared" si="7"/>
        <v>4213.3</v>
      </c>
      <c r="F60" s="29"/>
      <c r="G60" s="51">
        <v>5891</v>
      </c>
      <c r="H60" s="59">
        <v>6482</v>
      </c>
      <c r="I60" s="51">
        <v>2674</v>
      </c>
      <c r="J60" s="59">
        <v>34069</v>
      </c>
      <c r="K60" s="49">
        <v>0</v>
      </c>
      <c r="L60" s="29"/>
      <c r="M60" s="62">
        <f t="shared" si="1"/>
        <v>6482</v>
      </c>
      <c r="N60" s="58">
        <f t="shared" si="2"/>
        <v>6080.9</v>
      </c>
      <c r="O60" s="46">
        <f>SUM(M60*'Factors &amp; Percentages'!$E$6+N60*'Factors &amp; Percentages'!$E$7)</f>
        <v>878.60050008833855</v>
      </c>
      <c r="P60" s="65">
        <v>0.25</v>
      </c>
      <c r="Q60" s="46">
        <f>P60*'Factors &amp; Percentages'!$E$10</f>
        <v>2741.3939477921858</v>
      </c>
      <c r="R60" s="69">
        <v>3043</v>
      </c>
      <c r="S60" s="46">
        <f>R60*'Factors &amp; Percentages'!$E$13</f>
        <v>5403.3958311630104</v>
      </c>
      <c r="T60" s="63">
        <v>7</v>
      </c>
      <c r="U60" s="64">
        <v>18</v>
      </c>
      <c r="V60" s="63">
        <v>1608</v>
      </c>
      <c r="W60" s="46">
        <f>T60*'Factors &amp; Percentages'!$E$16+U60*'Factors &amp; Percentages'!$E$17+V60*'Factors &amp; Percentages'!$E$18</f>
        <v>1403.3810205129796</v>
      </c>
      <c r="X60" s="114"/>
      <c r="Y60" s="58">
        <f t="shared" si="3"/>
        <v>10426.771299556514</v>
      </c>
      <c r="Z60" s="71">
        <f t="shared" si="4"/>
        <v>4213.3</v>
      </c>
      <c r="AA60" s="51">
        <f>IF($AE60&gt;$Z60,$AE60*(1+'Factors &amp; Percentages'!$B$3),IF($Y60&gt;$Z60,$Z60,IF($Y60&gt;$AE60,$Y60,$AE60*(1+'Factors &amp; Percentages'!$B$3))))</f>
        <v>4213.3</v>
      </c>
      <c r="AB60" s="59">
        <f t="shared" si="5"/>
        <v>4213.3</v>
      </c>
      <c r="AC60" s="42"/>
      <c r="AD60" s="43">
        <f t="shared" si="6"/>
        <v>4213.3</v>
      </c>
      <c r="AE60" s="75">
        <v>2200</v>
      </c>
      <c r="AF60" s="32"/>
      <c r="AG60" s="33"/>
      <c r="AH60" s="33"/>
      <c r="AI60" s="33"/>
      <c r="AJ60" s="5"/>
    </row>
    <row r="61" spans="1:36" s="89" customFormat="1" x14ac:dyDescent="0.3">
      <c r="A61" s="90" t="s">
        <v>176</v>
      </c>
      <c r="B61" s="78" t="s">
        <v>8</v>
      </c>
      <c r="C61" s="78" t="s">
        <v>175</v>
      </c>
      <c r="D61" s="79"/>
      <c r="E61" s="80">
        <f t="shared" si="7"/>
        <v>10553.323854605835</v>
      </c>
      <c r="F61" s="80"/>
      <c r="G61" s="80">
        <v>10484</v>
      </c>
      <c r="H61" s="80">
        <v>6377</v>
      </c>
      <c r="I61" s="80">
        <v>18353</v>
      </c>
      <c r="J61" s="80">
        <v>0</v>
      </c>
      <c r="K61" s="80">
        <v>0</v>
      </c>
      <c r="L61" s="80"/>
      <c r="M61" s="81">
        <f t="shared" si="1"/>
        <v>6377</v>
      </c>
      <c r="N61" s="81">
        <f t="shared" si="2"/>
        <v>18353</v>
      </c>
      <c r="O61" s="81">
        <f>SUM(M61*'Factors &amp; Percentages'!$E$6+N61*'Factors &amp; Percentages'!$E$7)</f>
        <v>1588.6791779806756</v>
      </c>
      <c r="P61" s="82">
        <v>0.25</v>
      </c>
      <c r="Q61" s="81">
        <f>P61*'Factors &amp; Percentages'!$E$10</f>
        <v>2741.3939477921858</v>
      </c>
      <c r="R61" s="83">
        <v>2523</v>
      </c>
      <c r="S61" s="81">
        <f>R61*'Factors &amp; Percentages'!$E$13</f>
        <v>4480.0419592587168</v>
      </c>
      <c r="T61" s="84">
        <v>12</v>
      </c>
      <c r="U61" s="84">
        <v>19</v>
      </c>
      <c r="V61" s="84">
        <v>162</v>
      </c>
      <c r="W61" s="81">
        <f>T61*'Factors &amp; Percentages'!$E$16+U61*'Factors &amp; Percentages'!$E$17+V61*'Factors &amp; Percentages'!$E$18</f>
        <v>1743.2087695742566</v>
      </c>
      <c r="X61" s="113"/>
      <c r="Y61" s="81">
        <f t="shared" si="3"/>
        <v>10553.323854605835</v>
      </c>
      <c r="Z61" s="85">
        <f t="shared" si="4"/>
        <v>10553.323854605835</v>
      </c>
      <c r="AA61" s="80">
        <f>IF($AE61&gt;$Z61,$AE61*(1+'Factors &amp; Percentages'!$B$3),IF($Y61&gt;$Z61,$Z61,IF($Y61&gt;$AE61,$Y61,$AE61*(1+'Factors &amp; Percentages'!$B$3))))</f>
        <v>10553.323854605835</v>
      </c>
      <c r="AB61" s="80">
        <f t="shared" si="5"/>
        <v>10553.323854605835</v>
      </c>
      <c r="AC61" s="85"/>
      <c r="AD61" s="80">
        <f t="shared" si="6"/>
        <v>10553.323854605835</v>
      </c>
      <c r="AE61" s="86">
        <v>1883.7</v>
      </c>
      <c r="AF61" s="87"/>
      <c r="AG61" s="88"/>
      <c r="AH61" s="88"/>
      <c r="AI61" s="88"/>
      <c r="AJ61" s="5"/>
    </row>
    <row r="62" spans="1:36" x14ac:dyDescent="0.3">
      <c r="A62" s="91" t="s">
        <v>169</v>
      </c>
      <c r="B62" s="76" t="s">
        <v>75</v>
      </c>
      <c r="C62" s="76" t="s">
        <v>163</v>
      </c>
      <c r="D62" s="31"/>
      <c r="E62" s="43">
        <f t="shared" si="7"/>
        <v>12814.1</v>
      </c>
      <c r="F62" s="29"/>
      <c r="G62" s="51">
        <f>20852-1000</f>
        <v>19852</v>
      </c>
      <c r="H62" s="59">
        <v>19714</v>
      </c>
      <c r="I62" s="51">
        <v>2781</v>
      </c>
      <c r="J62" s="59">
        <v>99212</v>
      </c>
      <c r="K62" s="49">
        <v>0</v>
      </c>
      <c r="L62" s="29"/>
      <c r="M62" s="62">
        <f t="shared" si="1"/>
        <v>19714</v>
      </c>
      <c r="N62" s="58">
        <f t="shared" si="2"/>
        <v>12702.2</v>
      </c>
      <c r="O62" s="46">
        <f>SUM(M62*'Factors &amp; Percentages'!$E$6+N62*'Factors &amp; Percentages'!$E$7)</f>
        <v>2333.0051080924868</v>
      </c>
      <c r="P62" s="65">
        <v>0.33</v>
      </c>
      <c r="Q62" s="46">
        <f>P62*'Factors &amp; Percentages'!$E$10</f>
        <v>3618.6400110856853</v>
      </c>
      <c r="R62" s="69">
        <v>3602</v>
      </c>
      <c r="S62" s="46">
        <f>R62*'Factors &amp; Percentages'!$E$13</f>
        <v>6396.0012434601258</v>
      </c>
      <c r="T62" s="63">
        <v>18</v>
      </c>
      <c r="U62" s="64">
        <v>43</v>
      </c>
      <c r="V62" s="63">
        <v>2041</v>
      </c>
      <c r="W62" s="46">
        <f>T62*'Factors &amp; Percentages'!$E$16+U62*'Factors &amp; Percentages'!$E$17+V62*'Factors &amp; Percentages'!$E$18</f>
        <v>3186.7065248816266</v>
      </c>
      <c r="X62" s="114"/>
      <c r="Y62" s="58">
        <f t="shared" si="3"/>
        <v>15534.352887519924</v>
      </c>
      <c r="Z62" s="71">
        <f t="shared" si="4"/>
        <v>12814.1</v>
      </c>
      <c r="AA62" s="51">
        <f>IF($AE62&gt;$Z62,$AE62*(1+'Factors &amp; Percentages'!$B$3),IF($Y62&gt;$Z62,$Z62,IF($Y62&gt;$AE62,$Y62,$AE62*(1+'Factors &amp; Percentages'!$B$3))))</f>
        <v>12814.1</v>
      </c>
      <c r="AB62" s="59">
        <f t="shared" si="5"/>
        <v>12814.1</v>
      </c>
      <c r="AC62" s="42"/>
      <c r="AD62" s="43">
        <f t="shared" si="6"/>
        <v>12814.1</v>
      </c>
      <c r="AE62" s="75">
        <v>10000</v>
      </c>
      <c r="AF62" s="32"/>
      <c r="AG62" s="33"/>
      <c r="AH62" s="33"/>
      <c r="AI62" s="33"/>
      <c r="AJ62" s="5"/>
    </row>
    <row r="63" spans="1:36" s="89" customFormat="1" x14ac:dyDescent="0.3">
      <c r="A63" s="90" t="s">
        <v>187</v>
      </c>
      <c r="B63" s="78" t="s">
        <v>8</v>
      </c>
      <c r="C63" s="78" t="s">
        <v>185</v>
      </c>
      <c r="D63" s="79"/>
      <c r="E63" s="80">
        <f t="shared" si="7"/>
        <v>44931.6</v>
      </c>
      <c r="F63" s="80"/>
      <c r="G63" s="80">
        <f>54172-252-1024</f>
        <v>52896</v>
      </c>
      <c r="H63" s="80">
        <v>62855</v>
      </c>
      <c r="I63" s="80">
        <v>31769</v>
      </c>
      <c r="J63" s="80">
        <v>0</v>
      </c>
      <c r="K63" s="80">
        <v>0</v>
      </c>
      <c r="L63" s="80"/>
      <c r="M63" s="81">
        <f t="shared" si="1"/>
        <v>62855</v>
      </c>
      <c r="N63" s="81">
        <f t="shared" si="2"/>
        <v>31769</v>
      </c>
      <c r="O63" s="81">
        <f>SUM(M63*'Factors &amp; Percentages'!$E$6+N63*'Factors &amp; Percentages'!$E$7)</f>
        <v>6927.2727024051947</v>
      </c>
      <c r="P63" s="82">
        <v>0.5</v>
      </c>
      <c r="Q63" s="81">
        <f>P63*'Factors &amp; Percentages'!$E$10</f>
        <v>5482.7878955843717</v>
      </c>
      <c r="R63" s="83">
        <v>11357</v>
      </c>
      <c r="S63" s="81">
        <f>R63*'Factors &amp; Percentages'!$E$13</f>
        <v>20166.403698494349</v>
      </c>
      <c r="T63" s="84">
        <v>55</v>
      </c>
      <c r="U63" s="84">
        <v>94</v>
      </c>
      <c r="V63" s="84">
        <v>7580</v>
      </c>
      <c r="W63" s="81">
        <f>T63*'Factors &amp; Percentages'!$E$16+U63*'Factors &amp; Percentages'!$E$17+V63*'Factors &amp; Percentages'!$E$18</f>
        <v>9299.3005032936162</v>
      </c>
      <c r="X63" s="113"/>
      <c r="Y63" s="81">
        <f t="shared" si="3"/>
        <v>41875.764799777535</v>
      </c>
      <c r="Z63" s="85">
        <f t="shared" si="4"/>
        <v>40855.75</v>
      </c>
      <c r="AA63" s="80">
        <f>IF($AE63&gt;$Z63,$AE63*(1+'Factors &amp; Percentages'!$B$3),IF($Y63&gt;$Z63,$Z63,IF($Y63&gt;$AE63,$Y63,$AE63*(1+'Factors &amp; Percentages'!$B$3))))</f>
        <v>44931.6</v>
      </c>
      <c r="AB63" s="80">
        <f t="shared" si="5"/>
        <v>44931.6</v>
      </c>
      <c r="AC63" s="85"/>
      <c r="AD63" s="80">
        <f t="shared" si="6"/>
        <v>44931.6</v>
      </c>
      <c r="AE63" s="86">
        <v>42792</v>
      </c>
      <c r="AF63" s="87"/>
      <c r="AG63" s="88"/>
      <c r="AH63" s="88"/>
      <c r="AI63" s="88"/>
      <c r="AJ63" s="5"/>
    </row>
    <row r="64" spans="1:36" x14ac:dyDescent="0.3">
      <c r="A64" s="91" t="s">
        <v>33</v>
      </c>
      <c r="B64" s="76" t="s">
        <v>8</v>
      </c>
      <c r="C64" s="76" t="s">
        <v>30</v>
      </c>
      <c r="D64" s="31"/>
      <c r="E64" s="43">
        <f t="shared" si="7"/>
        <v>10671.359999999999</v>
      </c>
      <c r="F64" s="29"/>
      <c r="G64" s="51">
        <f>19275-10000</f>
        <v>9275</v>
      </c>
      <c r="H64" s="59">
        <v>11584</v>
      </c>
      <c r="I64" s="51">
        <v>11170</v>
      </c>
      <c r="J64" s="59">
        <v>38969</v>
      </c>
      <c r="K64" s="49">
        <v>1093</v>
      </c>
      <c r="L64" s="29"/>
      <c r="M64" s="62">
        <f t="shared" si="1"/>
        <v>11693.3</v>
      </c>
      <c r="N64" s="58">
        <f t="shared" si="2"/>
        <v>15066.9</v>
      </c>
      <c r="O64" s="46">
        <f>SUM(M64*'Factors &amp; Percentages'!$E$6+N64*'Factors &amp; Percentages'!$E$7)</f>
        <v>1824.8577192537336</v>
      </c>
      <c r="P64" s="65">
        <v>0.06</v>
      </c>
      <c r="Q64" s="46">
        <f>P64*'Factors &amp; Percentages'!$E$10</f>
        <v>657.93454747012458</v>
      </c>
      <c r="R64" s="69">
        <v>8460</v>
      </c>
      <c r="S64" s="46">
        <f>R64*'Factors &amp; Percentages'!$E$13</f>
        <v>15022.2572236737</v>
      </c>
      <c r="T64" s="63">
        <v>15</v>
      </c>
      <c r="U64" s="64">
        <v>19</v>
      </c>
      <c r="V64" s="63">
        <v>458</v>
      </c>
      <c r="W64" s="46">
        <f>T64*'Factors &amp; Percentages'!$E$16+U64*'Factors &amp; Percentages'!$E$17+V64*'Factors &amp; Percentages'!$E$18</f>
        <v>2138.0874646870175</v>
      </c>
      <c r="X64" s="114"/>
      <c r="Y64" s="58">
        <f t="shared" si="3"/>
        <v>19643.136955084574</v>
      </c>
      <c r="Z64" s="71">
        <f t="shared" si="4"/>
        <v>19643.136955084574</v>
      </c>
      <c r="AA64" s="51">
        <f>IF($AE64&gt;$Z64,$AE64*(1+'Factors &amp; Percentages'!$B$3),IF($Y64&gt;$Z64,$Z64,IF($Y64&gt;$AE64,$Y64,$AE64*(1+'Factors &amp; Percentages'!$B$3))))</f>
        <v>19643.136955084574</v>
      </c>
      <c r="AB64" s="59">
        <f t="shared" si="5"/>
        <v>10671.359999999999</v>
      </c>
      <c r="AC64" s="42"/>
      <c r="AD64" s="43">
        <f t="shared" si="6"/>
        <v>10671.359999999999</v>
      </c>
      <c r="AE64" s="75">
        <v>6704</v>
      </c>
      <c r="AF64" s="32"/>
      <c r="AG64" s="33"/>
      <c r="AH64" s="33"/>
      <c r="AI64" s="33"/>
      <c r="AJ64" s="5"/>
    </row>
    <row r="65" spans="1:36" s="89" customFormat="1" x14ac:dyDescent="0.3">
      <c r="A65" s="90" t="s">
        <v>113</v>
      </c>
      <c r="B65" s="78" t="s">
        <v>43</v>
      </c>
      <c r="C65" s="78" t="s">
        <v>111</v>
      </c>
      <c r="D65" s="79"/>
      <c r="E65" s="80">
        <f t="shared" si="7"/>
        <v>11340</v>
      </c>
      <c r="F65" s="80"/>
      <c r="G65" s="80">
        <v>15930</v>
      </c>
      <c r="H65" s="80">
        <v>24212</v>
      </c>
      <c r="I65" s="80">
        <v>11329</v>
      </c>
      <c r="J65" s="80">
        <v>4927</v>
      </c>
      <c r="K65" s="80">
        <v>0</v>
      </c>
      <c r="L65" s="80"/>
      <c r="M65" s="81">
        <f t="shared" si="1"/>
        <v>24212</v>
      </c>
      <c r="N65" s="81">
        <f t="shared" si="2"/>
        <v>11821.7</v>
      </c>
      <c r="O65" s="81">
        <f>SUM(M65*'Factors &amp; Percentages'!$E$6+N65*'Factors &amp; Percentages'!$E$7)</f>
        <v>2644.0651799536422</v>
      </c>
      <c r="P65" s="82">
        <v>0.1</v>
      </c>
      <c r="Q65" s="81">
        <f>P65*'Factors &amp; Percentages'!$E$10</f>
        <v>1096.5575791168744</v>
      </c>
      <c r="R65" s="83">
        <v>375</v>
      </c>
      <c r="S65" s="81">
        <f>R65*'Factors &amp; Percentages'!$E$13</f>
        <v>665.88019608482705</v>
      </c>
      <c r="T65" s="84">
        <v>17</v>
      </c>
      <c r="U65" s="84">
        <v>39</v>
      </c>
      <c r="V65" s="84">
        <v>7092</v>
      </c>
      <c r="W65" s="81">
        <f>T65*'Factors &amp; Percentages'!$E$16+U65*'Factors &amp; Percentages'!$E$17+V65*'Factors &amp; Percentages'!$E$18</f>
        <v>3876.1721368603567</v>
      </c>
      <c r="X65" s="113"/>
      <c r="Y65" s="81">
        <f t="shared" si="3"/>
        <v>8282.6750920156992</v>
      </c>
      <c r="Z65" s="85">
        <f t="shared" si="4"/>
        <v>8282.6750920156992</v>
      </c>
      <c r="AA65" s="80">
        <f>IF($AE65&gt;$Z65,$AE65*(1+'Factors &amp; Percentages'!$B$3),IF($Y65&gt;$Z65,$Z65,IF($Y65&gt;$AE65,$Y65,$AE65*(1+'Factors &amp; Percentages'!$B$3))))</f>
        <v>11340</v>
      </c>
      <c r="AB65" s="80">
        <f t="shared" si="5"/>
        <v>11340</v>
      </c>
      <c r="AC65" s="85"/>
      <c r="AD65" s="80">
        <f t="shared" si="6"/>
        <v>11340</v>
      </c>
      <c r="AE65" s="86">
        <v>10800</v>
      </c>
      <c r="AF65" s="87"/>
      <c r="AG65" s="88"/>
      <c r="AH65" s="88"/>
      <c r="AI65" s="88"/>
      <c r="AJ65" s="5"/>
    </row>
    <row r="66" spans="1:36" x14ac:dyDescent="0.3">
      <c r="A66" s="91" t="s">
        <v>12</v>
      </c>
      <c r="B66" s="76" t="s">
        <v>8</v>
      </c>
      <c r="C66" s="76" t="s">
        <v>8</v>
      </c>
      <c r="D66" s="31"/>
      <c r="E66" s="43">
        <f t="shared" si="7"/>
        <v>8132.7214566421899</v>
      </c>
      <c r="F66" s="29"/>
      <c r="G66" s="51">
        <v>7018</v>
      </c>
      <c r="H66" s="59">
        <v>18788</v>
      </c>
      <c r="I66" s="51">
        <v>12937</v>
      </c>
      <c r="J66" s="59">
        <v>96713</v>
      </c>
      <c r="K66" s="49">
        <v>4016</v>
      </c>
      <c r="L66" s="29"/>
      <c r="M66" s="62">
        <f t="shared" si="1"/>
        <v>19189.599999999999</v>
      </c>
      <c r="N66" s="58">
        <f t="shared" si="2"/>
        <v>22608.300000000003</v>
      </c>
      <c r="O66" s="46">
        <f>SUM(M66*'Factors &amp; Percentages'!$E$6+N66*'Factors &amp; Percentages'!$E$7)</f>
        <v>2870.7415046676401</v>
      </c>
      <c r="P66" s="65">
        <v>0.25</v>
      </c>
      <c r="Q66" s="46">
        <f>P66*'Factors &amp; Percentages'!$E$10</f>
        <v>2741.3939477921858</v>
      </c>
      <c r="R66" s="69">
        <v>258</v>
      </c>
      <c r="S66" s="46">
        <f>R66*'Factors &amp; Percentages'!$E$13</f>
        <v>458.12557490636107</v>
      </c>
      <c r="T66" s="63">
        <v>12</v>
      </c>
      <c r="U66" s="64">
        <v>28</v>
      </c>
      <c r="V66" s="63">
        <v>1072</v>
      </c>
      <c r="W66" s="46">
        <f>T66*'Factors &amp; Percentages'!$E$16+U66*'Factors &amp; Percentages'!$E$17+V66*'Factors &amp; Percentages'!$E$18</f>
        <v>2062.4604292760018</v>
      </c>
      <c r="X66" s="114"/>
      <c r="Y66" s="58">
        <f t="shared" si="3"/>
        <v>8132.7214566421899</v>
      </c>
      <c r="Z66" s="71">
        <f t="shared" si="4"/>
        <v>8132.7214566421899</v>
      </c>
      <c r="AA66" s="51">
        <f>IF($AE66&gt;$Z66,$AE66*(1+'Factors &amp; Percentages'!$B$3),IF($Y66&gt;$Z66,$Z66,IF($Y66&gt;$AE66,$Y66,$AE66*(1+'Factors &amp; Percentages'!$B$3))))</f>
        <v>8132.7214566421899</v>
      </c>
      <c r="AB66" s="59">
        <f t="shared" si="5"/>
        <v>8132.7214566421899</v>
      </c>
      <c r="AC66" s="42"/>
      <c r="AD66" s="43">
        <f t="shared" si="6"/>
        <v>8132.7214566421899</v>
      </c>
      <c r="AE66" s="75">
        <v>3000</v>
      </c>
      <c r="AF66" s="32"/>
      <c r="AG66" s="33"/>
      <c r="AH66" s="33"/>
      <c r="AI66" s="33"/>
      <c r="AJ66" s="5"/>
    </row>
    <row r="67" spans="1:36" s="89" customFormat="1" x14ac:dyDescent="0.3">
      <c r="A67" s="90" t="s">
        <v>188</v>
      </c>
      <c r="B67" s="78" t="s">
        <v>8</v>
      </c>
      <c r="C67" s="78" t="s">
        <v>185</v>
      </c>
      <c r="D67" s="79"/>
      <c r="E67" s="80">
        <f t="shared" ref="E67:E98" si="8">+AB67</f>
        <v>17785.600000000002</v>
      </c>
      <c r="F67" s="80"/>
      <c r="G67" s="80">
        <v>20279</v>
      </c>
      <c r="H67" s="80">
        <v>18430</v>
      </c>
      <c r="I67" s="80">
        <v>46869</v>
      </c>
      <c r="J67" s="80">
        <v>0</v>
      </c>
      <c r="K67" s="80">
        <v>0</v>
      </c>
      <c r="L67" s="80"/>
      <c r="M67" s="81">
        <f t="shared" ref="M67:M130" si="9">H67+K67*0.1</f>
        <v>18430</v>
      </c>
      <c r="N67" s="81">
        <f t="shared" ref="N67:N130" si="10">I67+0.1*J67</f>
        <v>46869</v>
      </c>
      <c r="O67" s="81">
        <f>SUM(M67*'Factors &amp; Percentages'!$E$6+N67*'Factors &amp; Percentages'!$E$7)</f>
        <v>4229.9926848689702</v>
      </c>
      <c r="P67" s="82">
        <v>0.1</v>
      </c>
      <c r="Q67" s="81">
        <f>P67*'Factors &amp; Percentages'!$E$10</f>
        <v>1096.5575791168744</v>
      </c>
      <c r="R67" s="83">
        <v>10517</v>
      </c>
      <c r="S67" s="81">
        <f>R67*'Factors &amp; Percentages'!$E$13</f>
        <v>18674.832059264336</v>
      </c>
      <c r="T67" s="84">
        <v>27</v>
      </c>
      <c r="U67" s="84">
        <v>43</v>
      </c>
      <c r="V67" s="84">
        <v>320</v>
      </c>
      <c r="W67" s="81">
        <f>T67*'Factors &amp; Percentages'!$E$16+U67*'Factors &amp; Percentages'!$E$17+V67*'Factors &amp; Percentages'!$E$18</f>
        <v>3918.9896404044057</v>
      </c>
      <c r="X67" s="113"/>
      <c r="Y67" s="81">
        <f t="shared" ref="Y67:Y130" si="11">O67+Q67+S67+W67</f>
        <v>27920.371963654587</v>
      </c>
      <c r="Z67" s="85">
        <f t="shared" ref="Z67:Z130" si="12">IF($I67&gt;($H67+$G67)/2,$Y67,MIN(Y67,$H67*0.65))</f>
        <v>27920.371963654587</v>
      </c>
      <c r="AA67" s="80">
        <f>IF($AE67&gt;$Z67,$AE67*(1+'Factors &amp; Percentages'!$B$3),IF($Y67&gt;$Z67,$Z67,IF($Y67&gt;$AE67,$Y67,$AE67*(1+'Factors &amp; Percentages'!$B$3))))</f>
        <v>27920.371963654587</v>
      </c>
      <c r="AB67" s="80">
        <f t="shared" ref="AB67:AB130" si="13">MIN(AA67,+P67*2*88928)</f>
        <v>17785.600000000002</v>
      </c>
      <c r="AC67" s="85"/>
      <c r="AD67" s="80">
        <f t="shared" si="6"/>
        <v>17785.600000000002</v>
      </c>
      <c r="AE67" s="86">
        <v>10548</v>
      </c>
      <c r="AF67" s="87"/>
      <c r="AG67" s="88"/>
      <c r="AH67" s="88"/>
      <c r="AI67" s="88"/>
      <c r="AJ67" s="5"/>
    </row>
    <row r="68" spans="1:36" x14ac:dyDescent="0.3">
      <c r="A68" s="91" t="s">
        <v>133</v>
      </c>
      <c r="B68" s="76" t="s">
        <v>8</v>
      </c>
      <c r="C68" s="76" t="s">
        <v>132</v>
      </c>
      <c r="D68" s="31"/>
      <c r="E68" s="43">
        <f t="shared" si="8"/>
        <v>23462.25</v>
      </c>
      <c r="F68" s="29"/>
      <c r="G68" s="51">
        <v>18821</v>
      </c>
      <c r="H68" s="59">
        <v>21685</v>
      </c>
      <c r="I68" s="51">
        <v>7645</v>
      </c>
      <c r="J68" s="59">
        <v>110490</v>
      </c>
      <c r="K68" s="49">
        <v>10660</v>
      </c>
      <c r="L68" s="29"/>
      <c r="M68" s="62">
        <f t="shared" si="9"/>
        <v>22751</v>
      </c>
      <c r="N68" s="58">
        <f t="shared" si="10"/>
        <v>18694</v>
      </c>
      <c r="O68" s="46">
        <f>SUM(M68*'Factors &amp; Percentages'!$E$6+N68*'Factors &amp; Percentages'!$E$7)</f>
        <v>2928.6639625454677</v>
      </c>
      <c r="P68" s="65">
        <v>0.375</v>
      </c>
      <c r="Q68" s="46">
        <f>P68*'Factors &amp; Percentages'!$E$10</f>
        <v>4112.0909216882792</v>
      </c>
      <c r="R68" s="69">
        <v>8752</v>
      </c>
      <c r="S68" s="46">
        <f>R68*'Factors &amp; Percentages'!$E$13</f>
        <v>15540.755936358419</v>
      </c>
      <c r="T68" s="63">
        <v>19</v>
      </c>
      <c r="U68" s="64">
        <v>44</v>
      </c>
      <c r="V68" s="63">
        <v>1000</v>
      </c>
      <c r="W68" s="46">
        <f>T68*'Factors &amp; Percentages'!$E$16+U68*'Factors &amp; Percentages'!$E$17+V68*'Factors &amp; Percentages'!$E$18</f>
        <v>3138.6769483252492</v>
      </c>
      <c r="X68" s="114"/>
      <c r="Y68" s="58">
        <f t="shared" si="11"/>
        <v>25720.187768917414</v>
      </c>
      <c r="Z68" s="71">
        <f t="shared" si="12"/>
        <v>14095.25</v>
      </c>
      <c r="AA68" s="51">
        <f>IF($AE68&gt;$Z68,$AE68*(1+'Factors &amp; Percentages'!$B$3),IF($Y68&gt;$Z68,$Z68,IF($Y68&gt;$AE68,$Y68,$AE68*(1+'Factors &amp; Percentages'!$B$3))))</f>
        <v>23462.25</v>
      </c>
      <c r="AB68" s="59">
        <f t="shared" si="13"/>
        <v>23462.25</v>
      </c>
      <c r="AC68" s="42"/>
      <c r="AD68" s="43">
        <f t="shared" ref="AD68:AD131" si="14">AB68</f>
        <v>23462.25</v>
      </c>
      <c r="AE68" s="75">
        <v>22345</v>
      </c>
      <c r="AF68" s="32"/>
      <c r="AG68" s="33"/>
      <c r="AH68" s="33"/>
      <c r="AI68" s="33"/>
      <c r="AJ68" s="5"/>
    </row>
    <row r="69" spans="1:36" s="89" customFormat="1" x14ac:dyDescent="0.3">
      <c r="A69" s="90" t="s">
        <v>238</v>
      </c>
      <c r="B69" s="78" t="s">
        <v>8</v>
      </c>
      <c r="C69" s="78" t="s">
        <v>8</v>
      </c>
      <c r="D69" s="79"/>
      <c r="E69" s="80">
        <f t="shared" si="8"/>
        <v>19251.973513346893</v>
      </c>
      <c r="F69" s="80"/>
      <c r="G69" s="80">
        <v>18486</v>
      </c>
      <c r="H69" s="80">
        <v>19604</v>
      </c>
      <c r="I69" s="80">
        <v>19584</v>
      </c>
      <c r="J69" s="80">
        <v>10294</v>
      </c>
      <c r="K69" s="80">
        <v>368</v>
      </c>
      <c r="L69" s="80"/>
      <c r="M69" s="81">
        <f t="shared" si="9"/>
        <v>19640.8</v>
      </c>
      <c r="N69" s="81">
        <f t="shared" si="10"/>
        <v>20613.400000000001</v>
      </c>
      <c r="O69" s="81">
        <f>SUM(M69*'Factors &amp; Percentages'!$E$6+N69*'Factors &amp; Percentages'!$E$7)</f>
        <v>2790.3124458693628</v>
      </c>
      <c r="P69" s="82">
        <v>0.25</v>
      </c>
      <c r="Q69" s="81">
        <f>P69*'Factors &amp; Percentages'!$E$10</f>
        <v>2741.3939477921858</v>
      </c>
      <c r="R69" s="83">
        <v>6240</v>
      </c>
      <c r="S69" s="81">
        <f>R69*'Factors &amp; Percentages'!$E$13</f>
        <v>11080.246462851523</v>
      </c>
      <c r="T69" s="84">
        <v>13</v>
      </c>
      <c r="U69" s="84">
        <v>46</v>
      </c>
      <c r="V69" s="84">
        <v>1880</v>
      </c>
      <c r="W69" s="81">
        <f>T69*'Factors &amp; Percentages'!$E$16+U69*'Factors &amp; Percentages'!$E$17+V69*'Factors &amp; Percentages'!$E$18</f>
        <v>2640.0206568338222</v>
      </c>
      <c r="X69" s="113"/>
      <c r="Y69" s="81">
        <f t="shared" si="11"/>
        <v>19251.973513346893</v>
      </c>
      <c r="Z69" s="85">
        <f t="shared" si="12"/>
        <v>19251.973513346893</v>
      </c>
      <c r="AA69" s="80">
        <f>IF($AE69&gt;$Z69,$AE69*(1+'Factors &amp; Percentages'!$B$3),IF($Y69&gt;$Z69,$Z69,IF($Y69&gt;$AE69,$Y69,$AE69*(1+'Factors &amp; Percentages'!$B$3))))</f>
        <v>19251.973513346893</v>
      </c>
      <c r="AB69" s="80">
        <f t="shared" si="13"/>
        <v>19251.973513346893</v>
      </c>
      <c r="AC69" s="85"/>
      <c r="AD69" s="80">
        <f t="shared" si="14"/>
        <v>19251.973513346893</v>
      </c>
      <c r="AE69" s="86">
        <v>8000</v>
      </c>
      <c r="AF69" s="87"/>
      <c r="AG69" s="88"/>
      <c r="AH69" s="88"/>
      <c r="AI69" s="88"/>
      <c r="AJ69" s="5"/>
    </row>
    <row r="70" spans="1:36" x14ac:dyDescent="0.3">
      <c r="A70" s="91" t="s">
        <v>88</v>
      </c>
      <c r="B70" s="76" t="s">
        <v>75</v>
      </c>
      <c r="C70" s="76" t="s">
        <v>75</v>
      </c>
      <c r="D70" s="31"/>
      <c r="E70" s="43">
        <f t="shared" si="8"/>
        <v>10825.161198029236</v>
      </c>
      <c r="F70" s="29"/>
      <c r="G70" s="51">
        <v>5549</v>
      </c>
      <c r="H70" s="59">
        <v>7402</v>
      </c>
      <c r="I70" s="51">
        <v>18279</v>
      </c>
      <c r="J70" s="59">
        <v>13100</v>
      </c>
      <c r="K70" s="49">
        <v>0</v>
      </c>
      <c r="L70" s="29"/>
      <c r="M70" s="62">
        <f t="shared" si="9"/>
        <v>7402</v>
      </c>
      <c r="N70" s="58">
        <f t="shared" si="10"/>
        <v>19589</v>
      </c>
      <c r="O70" s="46">
        <f>SUM(M70*'Factors &amp; Percentages'!$E$6+N70*'Factors &amp; Percentages'!$E$7)</f>
        <v>1743.68036847186</v>
      </c>
      <c r="P70" s="65">
        <v>0.16500000000000001</v>
      </c>
      <c r="Q70" s="46">
        <f>P70*'Factors &amp; Percentages'!$E$10</f>
        <v>1809.3200055428426</v>
      </c>
      <c r="R70" s="69">
        <v>3245</v>
      </c>
      <c r="S70" s="46">
        <f>R70*'Factors &amp; Percentages'!$E$13</f>
        <v>5762.0832967873703</v>
      </c>
      <c r="T70" s="63">
        <v>8</v>
      </c>
      <c r="U70" s="64">
        <v>24</v>
      </c>
      <c r="V70" s="63">
        <v>942</v>
      </c>
      <c r="W70" s="46">
        <f>T70*'Factors &amp; Percentages'!$E$16+U70*'Factors &amp; Percentages'!$E$17+V70*'Factors &amp; Percentages'!$E$18</f>
        <v>1510.0775272271637</v>
      </c>
      <c r="X70" s="114"/>
      <c r="Y70" s="58">
        <f t="shared" si="11"/>
        <v>10825.161198029236</v>
      </c>
      <c r="Z70" s="71">
        <f t="shared" si="12"/>
        <v>10825.161198029236</v>
      </c>
      <c r="AA70" s="51">
        <f>IF($AE70&gt;$Z70,$AE70*(1+'Factors &amp; Percentages'!$B$3),IF($Y70&gt;$Z70,$Z70,IF($Y70&gt;$AE70,$Y70,$AE70*(1+'Factors &amp; Percentages'!$B$3))))</f>
        <v>10825.161198029236</v>
      </c>
      <c r="AB70" s="59">
        <f t="shared" si="13"/>
        <v>10825.161198029236</v>
      </c>
      <c r="AC70" s="42"/>
      <c r="AD70" s="43">
        <f t="shared" si="14"/>
        <v>10825.161198029236</v>
      </c>
      <c r="AE70" s="75">
        <v>2100</v>
      </c>
      <c r="AF70" s="32"/>
      <c r="AG70" s="33"/>
      <c r="AH70" s="33"/>
      <c r="AI70" s="33"/>
      <c r="AJ70" s="5"/>
    </row>
    <row r="71" spans="1:36" s="89" customFormat="1" x14ac:dyDescent="0.3">
      <c r="A71" s="90" t="s">
        <v>13</v>
      </c>
      <c r="B71" s="78" t="s">
        <v>8</v>
      </c>
      <c r="C71" s="78" t="s">
        <v>8</v>
      </c>
      <c r="D71" s="79"/>
      <c r="E71" s="80">
        <f t="shared" si="8"/>
        <v>21945.072454944144</v>
      </c>
      <c r="F71" s="80"/>
      <c r="G71" s="80">
        <v>15786</v>
      </c>
      <c r="H71" s="80">
        <v>17649</v>
      </c>
      <c r="I71" s="80">
        <v>36804</v>
      </c>
      <c r="J71" s="80">
        <v>60000</v>
      </c>
      <c r="K71" s="80">
        <v>4272</v>
      </c>
      <c r="L71" s="80"/>
      <c r="M71" s="81">
        <f t="shared" si="9"/>
        <v>18076.2</v>
      </c>
      <c r="N71" s="81">
        <f t="shared" si="10"/>
        <v>42804</v>
      </c>
      <c r="O71" s="81">
        <f>SUM(M71*'Factors &amp; Percentages'!$E$6+N71*'Factors &amp; Percentages'!$E$7)</f>
        <v>3963.4607543033312</v>
      </c>
      <c r="P71" s="82">
        <v>0.25</v>
      </c>
      <c r="Q71" s="81">
        <f>P71*'Factors &amp; Percentages'!$E$10</f>
        <v>2741.3939477921858</v>
      </c>
      <c r="R71" s="83">
        <v>6419</v>
      </c>
      <c r="S71" s="81">
        <f>R71*'Factors &amp; Percentages'!$E$13</f>
        <v>11398.093276449346</v>
      </c>
      <c r="T71" s="84">
        <v>25</v>
      </c>
      <c r="U71" s="84">
        <v>34</v>
      </c>
      <c r="V71" s="84">
        <v>2129</v>
      </c>
      <c r="W71" s="81">
        <f>T71*'Factors &amp; Percentages'!$E$16+U71*'Factors &amp; Percentages'!$E$17+V71*'Factors &amp; Percentages'!$E$18</f>
        <v>3842.1244763992809</v>
      </c>
      <c r="X71" s="113"/>
      <c r="Y71" s="81">
        <f t="shared" si="11"/>
        <v>21945.072454944144</v>
      </c>
      <c r="Z71" s="85">
        <f t="shared" si="12"/>
        <v>21945.072454944144</v>
      </c>
      <c r="AA71" s="80">
        <f>IF($AE71&gt;$Z71,$AE71*(1+'Factors &amp; Percentages'!$B$3),IF($Y71&gt;$Z71,$Z71,IF($Y71&gt;$AE71,$Y71,$AE71*(1+'Factors &amp; Percentages'!$B$3))))</f>
        <v>21945.072454944144</v>
      </c>
      <c r="AB71" s="80">
        <f t="shared" si="13"/>
        <v>21945.072454944144</v>
      </c>
      <c r="AC71" s="85"/>
      <c r="AD71" s="80">
        <f t="shared" si="14"/>
        <v>21945.072454944144</v>
      </c>
      <c r="AE71" s="86">
        <v>9200</v>
      </c>
      <c r="AF71" s="87"/>
      <c r="AG71" s="88"/>
      <c r="AH71" s="88"/>
      <c r="AI71" s="88"/>
      <c r="AJ71" s="5"/>
    </row>
    <row r="72" spans="1:36" x14ac:dyDescent="0.3">
      <c r="A72" s="91" t="s">
        <v>34</v>
      </c>
      <c r="B72" s="76" t="s">
        <v>8</v>
      </c>
      <c r="C72" s="76" t="s">
        <v>30</v>
      </c>
      <c r="D72" s="31"/>
      <c r="E72" s="43">
        <f t="shared" si="8"/>
        <v>9724.4717894880559</v>
      </c>
      <c r="F72" s="29"/>
      <c r="G72" s="51">
        <v>12329</v>
      </c>
      <c r="H72" s="59">
        <v>15557</v>
      </c>
      <c r="I72" s="51">
        <v>7963</v>
      </c>
      <c r="J72" s="59">
        <v>0</v>
      </c>
      <c r="K72" s="49">
        <v>0</v>
      </c>
      <c r="L72" s="29"/>
      <c r="M72" s="62">
        <f t="shared" si="9"/>
        <v>15557</v>
      </c>
      <c r="N72" s="58">
        <f t="shared" si="10"/>
        <v>7963</v>
      </c>
      <c r="O72" s="46">
        <f>SUM(M72*'Factors &amp; Percentages'!$E$6+N72*'Factors &amp; Percentages'!$E$7)</f>
        <v>1720.3964305305362</v>
      </c>
      <c r="P72" s="65">
        <v>0.33</v>
      </c>
      <c r="Q72" s="46">
        <f>P72*'Factors &amp; Percentages'!$E$10</f>
        <v>3618.6400110856853</v>
      </c>
      <c r="R72" s="69">
        <v>798</v>
      </c>
      <c r="S72" s="46">
        <f>R72*'Factors &amp; Percentages'!$E$13</f>
        <v>1416.9930572685121</v>
      </c>
      <c r="T72" s="63">
        <v>17</v>
      </c>
      <c r="U72" s="64">
        <v>36</v>
      </c>
      <c r="V72" s="63">
        <v>2167</v>
      </c>
      <c r="W72" s="46">
        <f>T72*'Factors &amp; Percentages'!$E$16+U72*'Factors &amp; Percentages'!$E$17+V72*'Factors &amp; Percentages'!$E$18</f>
        <v>2968.4422906033228</v>
      </c>
      <c r="X72" s="114"/>
      <c r="Y72" s="58">
        <f t="shared" si="11"/>
        <v>9724.4717894880559</v>
      </c>
      <c r="Z72" s="71">
        <f t="shared" si="12"/>
        <v>9724.4717894880559</v>
      </c>
      <c r="AA72" s="51">
        <f>IF($AE72&gt;$Z72,$AE72*(1+'Factors &amp; Percentages'!$B$3),IF($Y72&gt;$Z72,$Z72,IF($Y72&gt;$AE72,$Y72,$AE72*(1+'Factors &amp; Percentages'!$B$3))))</f>
        <v>9724.4717894880559</v>
      </c>
      <c r="AB72" s="59">
        <f t="shared" si="13"/>
        <v>9724.4717894880559</v>
      </c>
      <c r="AC72" s="42"/>
      <c r="AD72" s="43">
        <f t="shared" si="14"/>
        <v>9724.4717894880559</v>
      </c>
      <c r="AE72" s="75">
        <v>2000</v>
      </c>
      <c r="AF72" s="32"/>
      <c r="AG72" s="33"/>
      <c r="AH72" s="33"/>
      <c r="AI72" s="33"/>
      <c r="AJ72" s="5"/>
    </row>
    <row r="73" spans="1:36" s="89" customFormat="1" x14ac:dyDescent="0.3">
      <c r="A73" s="90" t="s">
        <v>49</v>
      </c>
      <c r="B73" s="78" t="s">
        <v>43</v>
      </c>
      <c r="C73" s="78" t="s">
        <v>42</v>
      </c>
      <c r="D73" s="79"/>
      <c r="E73" s="80">
        <f t="shared" si="8"/>
        <v>42935.1</v>
      </c>
      <c r="F73" s="80"/>
      <c r="G73" s="80">
        <f>73647-475</f>
        <v>73172</v>
      </c>
      <c r="H73" s="80">
        <v>66054</v>
      </c>
      <c r="I73" s="80">
        <v>32987</v>
      </c>
      <c r="J73" s="80">
        <v>185171</v>
      </c>
      <c r="K73" s="80">
        <v>49925</v>
      </c>
      <c r="L73" s="80"/>
      <c r="M73" s="81">
        <f t="shared" si="9"/>
        <v>71046.5</v>
      </c>
      <c r="N73" s="81">
        <f t="shared" si="10"/>
        <v>51504.100000000006</v>
      </c>
      <c r="O73" s="81">
        <f>SUM(M73*'Factors &amp; Percentages'!$E$6+N73*'Factors &amp; Percentages'!$E$7)</f>
        <v>8743.1543040940978</v>
      </c>
      <c r="P73" s="82">
        <v>1</v>
      </c>
      <c r="Q73" s="81">
        <f>P73*'Factors &amp; Percentages'!$E$10</f>
        <v>10965.575791168743</v>
      </c>
      <c r="R73" s="83">
        <v>6319</v>
      </c>
      <c r="S73" s="81">
        <f>R73*'Factors &amp; Percentages'!$E$13</f>
        <v>11220.525224160059</v>
      </c>
      <c r="T73" s="84">
        <v>76</v>
      </c>
      <c r="U73" s="84">
        <v>118</v>
      </c>
      <c r="V73" s="84">
        <v>9834</v>
      </c>
      <c r="W73" s="81">
        <f>T73*'Factors &amp; Percentages'!$E$16+U73*'Factors &amp; Percentages'!$E$17+V73*'Factors &amp; Percentages'!$E$18</f>
        <v>12525.60490716359</v>
      </c>
      <c r="X73" s="113"/>
      <c r="Y73" s="81">
        <f t="shared" si="11"/>
        <v>43454.86022658649</v>
      </c>
      <c r="Z73" s="85">
        <f t="shared" si="12"/>
        <v>42935.1</v>
      </c>
      <c r="AA73" s="80">
        <f>IF($AE73&gt;$Z73,$AE73*(1+'Factors &amp; Percentages'!$B$3),IF($Y73&gt;$Z73,$Z73,IF($Y73&gt;$AE73,$Y73,$AE73*(1+'Factors &amp; Percentages'!$B$3))))</f>
        <v>42935.1</v>
      </c>
      <c r="AB73" s="80">
        <f t="shared" si="13"/>
        <v>42935.1</v>
      </c>
      <c r="AC73" s="85"/>
      <c r="AD73" s="80">
        <f t="shared" si="14"/>
        <v>42935.1</v>
      </c>
      <c r="AE73" s="86">
        <v>40000</v>
      </c>
      <c r="AF73" s="87"/>
      <c r="AG73" s="88"/>
      <c r="AH73" s="88"/>
      <c r="AI73" s="88"/>
      <c r="AJ73" s="5"/>
    </row>
    <row r="74" spans="1:36" x14ac:dyDescent="0.3">
      <c r="A74" s="91" t="s">
        <v>114</v>
      </c>
      <c r="B74" s="76" t="s">
        <v>43</v>
      </c>
      <c r="C74" s="76" t="s">
        <v>111</v>
      </c>
      <c r="D74" s="31"/>
      <c r="E74" s="43">
        <f t="shared" si="8"/>
        <v>5124.3110387072084</v>
      </c>
      <c r="F74" s="29"/>
      <c r="G74" s="51">
        <v>21035</v>
      </c>
      <c r="H74" s="59">
        <v>14262</v>
      </c>
      <c r="I74" s="51">
        <v>5214</v>
      </c>
      <c r="J74" s="59">
        <v>1359</v>
      </c>
      <c r="K74" s="49">
        <v>1359</v>
      </c>
      <c r="L74" s="29"/>
      <c r="M74" s="62">
        <f t="shared" si="9"/>
        <v>14397.9</v>
      </c>
      <c r="N74" s="58">
        <f t="shared" si="10"/>
        <v>5349.9</v>
      </c>
      <c r="O74" s="46">
        <f>SUM(M74*'Factors &amp; Percentages'!$E$6+N74*'Factors &amp; Percentages'!$E$7)</f>
        <v>1473.9539822453753</v>
      </c>
      <c r="P74" s="65">
        <v>0.1</v>
      </c>
      <c r="Q74" s="46">
        <f>P74*'Factors &amp; Percentages'!$E$10</f>
        <v>1096.5575791168744</v>
      </c>
      <c r="R74" s="69">
        <v>51</v>
      </c>
      <c r="S74" s="46">
        <f>R74*'Factors &amp; Percentages'!$E$13</f>
        <v>90.559706667536489</v>
      </c>
      <c r="T74" s="63">
        <v>13</v>
      </c>
      <c r="U74" s="64">
        <v>26</v>
      </c>
      <c r="V74" s="63">
        <v>2930</v>
      </c>
      <c r="W74" s="46">
        <f>T74*'Factors &amp; Percentages'!$E$16+U74*'Factors &amp; Percentages'!$E$17+V74*'Factors &amp; Percentages'!$E$18</f>
        <v>2463.2397706774227</v>
      </c>
      <c r="X74" s="114"/>
      <c r="Y74" s="58">
        <f t="shared" si="11"/>
        <v>5124.3110387072084</v>
      </c>
      <c r="Z74" s="71">
        <f t="shared" si="12"/>
        <v>5124.3110387072084</v>
      </c>
      <c r="AA74" s="51">
        <f>IF($AE74&gt;$Z74,$AE74*(1+'Factors &amp; Percentages'!$B$3),IF($Y74&gt;$Z74,$Z74,IF($Y74&gt;$AE74,$Y74,$AE74*(1+'Factors &amp; Percentages'!$B$3))))</f>
        <v>5124.3110387072084</v>
      </c>
      <c r="AB74" s="59">
        <f t="shared" si="13"/>
        <v>5124.3110387072084</v>
      </c>
      <c r="AC74" s="42"/>
      <c r="AD74" s="43">
        <f t="shared" si="14"/>
        <v>5124.3110387072084</v>
      </c>
      <c r="AE74" s="75">
        <v>3000</v>
      </c>
      <c r="AF74" s="32"/>
      <c r="AG74" s="33"/>
      <c r="AH74" s="33"/>
      <c r="AI74" s="33"/>
      <c r="AJ74" s="5"/>
    </row>
    <row r="75" spans="1:36" s="89" customFormat="1" x14ac:dyDescent="0.3">
      <c r="A75" s="90" t="s">
        <v>35</v>
      </c>
      <c r="B75" s="78" t="s">
        <v>8</v>
      </c>
      <c r="C75" s="78" t="s">
        <v>30</v>
      </c>
      <c r="D75" s="79"/>
      <c r="E75" s="80">
        <f t="shared" si="8"/>
        <v>10671.359999999999</v>
      </c>
      <c r="F75" s="80"/>
      <c r="G75" s="80">
        <v>3836</v>
      </c>
      <c r="H75" s="80">
        <v>7281</v>
      </c>
      <c r="I75" s="80">
        <v>13150</v>
      </c>
      <c r="J75" s="80">
        <v>22970</v>
      </c>
      <c r="K75" s="80">
        <v>365</v>
      </c>
      <c r="L75" s="80"/>
      <c r="M75" s="81">
        <f t="shared" si="9"/>
        <v>7317.5</v>
      </c>
      <c r="N75" s="81">
        <f t="shared" si="10"/>
        <v>15447</v>
      </c>
      <c r="O75" s="81">
        <f>SUM(M75*'Factors &amp; Percentages'!$E$6+N75*'Factors &amp; Percentages'!$E$7)</f>
        <v>1494.3501073935563</v>
      </c>
      <c r="P75" s="82">
        <v>0.06</v>
      </c>
      <c r="Q75" s="81">
        <f>P75*'Factors &amp; Percentages'!$E$10</f>
        <v>657.93454747012458</v>
      </c>
      <c r="R75" s="83">
        <v>3198</v>
      </c>
      <c r="S75" s="81">
        <f>R75*'Factors &amp; Percentages'!$E$13</f>
        <v>5678.6263122114051</v>
      </c>
      <c r="T75" s="84">
        <v>25</v>
      </c>
      <c r="U75" s="84">
        <v>12</v>
      </c>
      <c r="V75" s="84">
        <v>148</v>
      </c>
      <c r="W75" s="81">
        <f>T75*'Factors &amp; Percentages'!$E$16+U75*'Factors &amp; Percentages'!$E$17+V75*'Factors &amp; Percentages'!$E$18</f>
        <v>3103.940352780397</v>
      </c>
      <c r="X75" s="113"/>
      <c r="Y75" s="81">
        <f t="shared" si="11"/>
        <v>10934.851319855483</v>
      </c>
      <c r="Z75" s="85">
        <f t="shared" si="12"/>
        <v>10934.851319855483</v>
      </c>
      <c r="AA75" s="80">
        <f>IF($AE75&gt;$Z75,$AE75*(1+'Factors &amp; Percentages'!$B$3),IF($Y75&gt;$Z75,$Z75,IF($Y75&gt;$AE75,$Y75,$AE75*(1+'Factors &amp; Percentages'!$B$3))))</f>
        <v>10934.851319855483</v>
      </c>
      <c r="AB75" s="80">
        <f t="shared" si="13"/>
        <v>10671.359999999999</v>
      </c>
      <c r="AC75" s="85"/>
      <c r="AD75" s="80">
        <f t="shared" si="14"/>
        <v>10671.359999999999</v>
      </c>
      <c r="AE75" s="86">
        <v>1540</v>
      </c>
      <c r="AF75" s="87"/>
      <c r="AG75" s="88"/>
      <c r="AH75" s="88"/>
      <c r="AI75" s="88"/>
      <c r="AJ75" s="5"/>
    </row>
    <row r="76" spans="1:36" x14ac:dyDescent="0.3">
      <c r="A76" s="91" t="s">
        <v>36</v>
      </c>
      <c r="B76" s="76" t="s">
        <v>8</v>
      </c>
      <c r="C76" s="76" t="s">
        <v>30</v>
      </c>
      <c r="D76" s="31"/>
      <c r="E76" s="43">
        <f t="shared" si="8"/>
        <v>29664.946437684604</v>
      </c>
      <c r="F76" s="29"/>
      <c r="G76" s="51">
        <v>20543</v>
      </c>
      <c r="H76" s="59">
        <v>53818</v>
      </c>
      <c r="I76" s="51">
        <v>24033</v>
      </c>
      <c r="J76" s="59">
        <v>44497</v>
      </c>
      <c r="K76" s="49">
        <v>4046</v>
      </c>
      <c r="L76" s="29"/>
      <c r="M76" s="62">
        <f t="shared" si="9"/>
        <v>54222.6</v>
      </c>
      <c r="N76" s="58">
        <f t="shared" si="10"/>
        <v>28482.7</v>
      </c>
      <c r="O76" s="46">
        <f>SUM(M76*'Factors &amp; Percentages'!$E$6+N76*'Factors &amp; Percentages'!$E$7)</f>
        <v>6038.9404707826097</v>
      </c>
      <c r="P76" s="65">
        <v>0.3</v>
      </c>
      <c r="Q76" s="46">
        <f>P76*'Factors &amp; Percentages'!$E$10</f>
        <v>3289.6727373506228</v>
      </c>
      <c r="R76" s="69">
        <v>8946</v>
      </c>
      <c r="S76" s="46">
        <f>R76*'Factors &amp; Percentages'!$E$13</f>
        <v>15885.237957799634</v>
      </c>
      <c r="T76" s="63">
        <v>26</v>
      </c>
      <c r="U76" s="64">
        <v>69</v>
      </c>
      <c r="V76" s="63">
        <v>1359</v>
      </c>
      <c r="W76" s="46">
        <f>T76*'Factors &amp; Percentages'!$E$16+U76*'Factors &amp; Percentages'!$E$17+V76*'Factors &amp; Percentages'!$E$18</f>
        <v>4451.0952717517393</v>
      </c>
      <c r="X76" s="114"/>
      <c r="Y76" s="58">
        <f t="shared" si="11"/>
        <v>29664.946437684604</v>
      </c>
      <c r="Z76" s="71">
        <f t="shared" si="12"/>
        <v>29664.946437684604</v>
      </c>
      <c r="AA76" s="51">
        <f>IF($AE76&gt;$Z76,$AE76*(1+'Factors &amp; Percentages'!$B$3),IF($Y76&gt;$Z76,$Z76,IF($Y76&gt;$AE76,$Y76,$AE76*(1+'Factors &amp; Percentages'!$B$3))))</f>
        <v>29664.946437684604</v>
      </c>
      <c r="AB76" s="59">
        <f t="shared" si="13"/>
        <v>29664.946437684604</v>
      </c>
      <c r="AC76" s="42"/>
      <c r="AD76" s="43">
        <f t="shared" si="14"/>
        <v>29664.946437684604</v>
      </c>
      <c r="AE76" s="75">
        <v>19000</v>
      </c>
      <c r="AF76" s="32"/>
      <c r="AG76" s="33"/>
      <c r="AH76" s="33"/>
      <c r="AI76" s="33"/>
      <c r="AJ76" s="5"/>
    </row>
    <row r="77" spans="1:36" s="89" customFormat="1" x14ac:dyDescent="0.3">
      <c r="A77" s="90" t="s">
        <v>111</v>
      </c>
      <c r="B77" s="78" t="s">
        <v>43</v>
      </c>
      <c r="C77" s="78" t="s">
        <v>111</v>
      </c>
      <c r="D77" s="79"/>
      <c r="E77" s="80">
        <f t="shared" si="8"/>
        <v>19594.25</v>
      </c>
      <c r="F77" s="80"/>
      <c r="G77" s="80">
        <f>35043-10571</f>
        <v>24472</v>
      </c>
      <c r="H77" s="80">
        <v>30145</v>
      </c>
      <c r="I77" s="80">
        <v>11124</v>
      </c>
      <c r="J77" s="80">
        <v>13759</v>
      </c>
      <c r="K77" s="80">
        <v>2343</v>
      </c>
      <c r="L77" s="80"/>
      <c r="M77" s="81">
        <f t="shared" si="9"/>
        <v>30379.3</v>
      </c>
      <c r="N77" s="81">
        <f t="shared" si="10"/>
        <v>12499.9</v>
      </c>
      <c r="O77" s="81">
        <f>SUM(M77*'Factors &amp; Percentages'!$E$6+N77*'Factors &amp; Percentages'!$E$7)</f>
        <v>3180.9622237626354</v>
      </c>
      <c r="P77" s="82">
        <v>1</v>
      </c>
      <c r="Q77" s="81">
        <f>P77*'Factors &amp; Percentages'!$E$10</f>
        <v>10965.575791168743</v>
      </c>
      <c r="R77" s="83">
        <v>584</v>
      </c>
      <c r="S77" s="81">
        <f>R77*'Factors &amp; Percentages'!$E$13</f>
        <v>1036.9974253694375</v>
      </c>
      <c r="T77" s="84">
        <v>18</v>
      </c>
      <c r="U77" s="84">
        <v>41</v>
      </c>
      <c r="V77" s="84">
        <v>11467</v>
      </c>
      <c r="W77" s="81">
        <f>T77*'Factors &amp; Percentages'!$E$16+U77*'Factors &amp; Percentages'!$E$17+V77*'Factors &amp; Percentages'!$E$18</f>
        <v>4785.1196710878739</v>
      </c>
      <c r="X77" s="113"/>
      <c r="Y77" s="81">
        <f t="shared" si="11"/>
        <v>19968.655111388689</v>
      </c>
      <c r="Z77" s="85">
        <f t="shared" si="12"/>
        <v>19594.25</v>
      </c>
      <c r="AA77" s="80">
        <f>IF($AE77&gt;$Z77,$AE77*(1+'Factors &amp; Percentages'!$B$3),IF($Y77&gt;$Z77,$Z77,IF($Y77&gt;$AE77,$Y77,$AE77*(1+'Factors &amp; Percentages'!$B$3))))</f>
        <v>19594.25</v>
      </c>
      <c r="AB77" s="80">
        <f t="shared" si="13"/>
        <v>19594.25</v>
      </c>
      <c r="AC77" s="85"/>
      <c r="AD77" s="80">
        <f t="shared" si="14"/>
        <v>19594.25</v>
      </c>
      <c r="AE77" s="86">
        <v>9600</v>
      </c>
      <c r="AF77" s="87"/>
      <c r="AG77" s="88"/>
      <c r="AH77" s="88"/>
      <c r="AI77" s="88"/>
      <c r="AJ77" s="5"/>
    </row>
    <row r="78" spans="1:36" x14ac:dyDescent="0.3">
      <c r="A78" s="91" t="s">
        <v>115</v>
      </c>
      <c r="B78" s="76" t="s">
        <v>43</v>
      </c>
      <c r="C78" s="76" t="s">
        <v>111</v>
      </c>
      <c r="D78" s="31"/>
      <c r="E78" s="43">
        <f t="shared" si="8"/>
        <v>15979.408752739706</v>
      </c>
      <c r="F78" s="29"/>
      <c r="G78" s="51">
        <v>22110</v>
      </c>
      <c r="H78" s="59">
        <v>26382</v>
      </c>
      <c r="I78" s="51">
        <v>16025</v>
      </c>
      <c r="J78" s="59">
        <v>93</v>
      </c>
      <c r="K78" s="49">
        <v>450</v>
      </c>
      <c r="L78" s="29"/>
      <c r="M78" s="62">
        <f t="shared" si="9"/>
        <v>26427</v>
      </c>
      <c r="N78" s="58">
        <f t="shared" si="10"/>
        <v>16034.3</v>
      </c>
      <c r="O78" s="46">
        <f>SUM(M78*'Factors &amp; Percentages'!$E$6+N78*'Factors &amp; Percentages'!$E$7)</f>
        <v>3069.283156694084</v>
      </c>
      <c r="P78" s="65">
        <v>0.5</v>
      </c>
      <c r="Q78" s="46">
        <f>P78*'Factors &amp; Percentages'!$E$10</f>
        <v>5482.7878955843717</v>
      </c>
      <c r="R78" s="69">
        <v>1374</v>
      </c>
      <c r="S78" s="46">
        <f>R78*'Factors &amp; Percentages'!$E$13</f>
        <v>2439.7850384548065</v>
      </c>
      <c r="T78" s="63">
        <v>23</v>
      </c>
      <c r="U78" s="64">
        <v>39</v>
      </c>
      <c r="V78" s="63">
        <v>9539</v>
      </c>
      <c r="W78" s="46">
        <f>T78*'Factors &amp; Percentages'!$E$16+U78*'Factors &amp; Percentages'!$E$17+V78*'Factors &amp; Percentages'!$E$18</f>
        <v>4987.5526620064447</v>
      </c>
      <c r="X78" s="114"/>
      <c r="Y78" s="58">
        <f t="shared" si="11"/>
        <v>15979.408752739706</v>
      </c>
      <c r="Z78" s="71">
        <f t="shared" si="12"/>
        <v>15979.408752739706</v>
      </c>
      <c r="AA78" s="51">
        <f>IF($AE78&gt;$Z78,$AE78*(1+'Factors &amp; Percentages'!$B$3),IF($Y78&gt;$Z78,$Z78,IF($Y78&gt;$AE78,$Y78,$AE78*(1+'Factors &amp; Percentages'!$B$3))))</f>
        <v>15979.408752739706</v>
      </c>
      <c r="AB78" s="59">
        <f t="shared" si="13"/>
        <v>15979.408752739706</v>
      </c>
      <c r="AC78" s="42"/>
      <c r="AD78" s="43">
        <f t="shared" si="14"/>
        <v>15979.408752739706</v>
      </c>
      <c r="AE78" s="75">
        <v>15750</v>
      </c>
      <c r="AF78" s="32"/>
      <c r="AG78" s="33"/>
      <c r="AH78" s="33"/>
      <c r="AI78" s="33"/>
      <c r="AJ78" s="5"/>
    </row>
    <row r="79" spans="1:36" s="89" customFormat="1" x14ac:dyDescent="0.3">
      <c r="A79" s="90" t="s">
        <v>116</v>
      </c>
      <c r="B79" s="78" t="s">
        <v>43</v>
      </c>
      <c r="C79" s="78" t="s">
        <v>111</v>
      </c>
      <c r="D79" s="79"/>
      <c r="E79" s="80">
        <f t="shared" si="8"/>
        <v>49553.556545798259</v>
      </c>
      <c r="F79" s="80"/>
      <c r="G79" s="80">
        <v>229407</v>
      </c>
      <c r="H79" s="80">
        <v>232782</v>
      </c>
      <c r="I79" s="80">
        <v>21200</v>
      </c>
      <c r="J79" s="80">
        <v>78170</v>
      </c>
      <c r="K79" s="80">
        <v>7219</v>
      </c>
      <c r="L79" s="80"/>
      <c r="M79" s="81">
        <f t="shared" si="9"/>
        <v>233503.9</v>
      </c>
      <c r="N79" s="81">
        <f t="shared" si="10"/>
        <v>29017</v>
      </c>
      <c r="O79" s="81">
        <f>SUM(M79*'Factors &amp; Percentages'!$E$6+N79*'Factors &amp; Percentages'!$E$7)</f>
        <v>20523.302595247693</v>
      </c>
      <c r="P79" s="82">
        <v>1</v>
      </c>
      <c r="Q79" s="81">
        <f>P79*'Factors &amp; Percentages'!$E$10</f>
        <v>10965.575791168743</v>
      </c>
      <c r="R79" s="83">
        <v>508</v>
      </c>
      <c r="S79" s="81">
        <f>R79*'Factors &amp; Percentages'!$E$13</f>
        <v>902.04570562957906</v>
      </c>
      <c r="T79" s="84">
        <v>130</v>
      </c>
      <c r="U79" s="84">
        <v>71</v>
      </c>
      <c r="V79" s="84">
        <v>5775</v>
      </c>
      <c r="W79" s="81">
        <f>T79*'Factors &amp; Percentages'!$E$16+U79*'Factors &amp; Percentages'!$E$17+V79*'Factors &amp; Percentages'!$E$18</f>
        <v>17162.632453752241</v>
      </c>
      <c r="X79" s="113"/>
      <c r="Y79" s="81">
        <f t="shared" si="11"/>
        <v>49553.556545798259</v>
      </c>
      <c r="Z79" s="85">
        <f t="shared" si="12"/>
        <v>49553.556545798259</v>
      </c>
      <c r="AA79" s="80">
        <f>IF($AE79&gt;$Z79,$AE79*(1+'Factors &amp; Percentages'!$B$3),IF($Y79&gt;$Z79,$Z79,IF($Y79&gt;$AE79,$Y79,$AE79*(1+'Factors &amp; Percentages'!$B$3))))</f>
        <v>49553.556545798259</v>
      </c>
      <c r="AB79" s="80">
        <f t="shared" si="13"/>
        <v>49553.556545798259</v>
      </c>
      <c r="AC79" s="85"/>
      <c r="AD79" s="80">
        <f t="shared" si="14"/>
        <v>49553.556545798259</v>
      </c>
      <c r="AE79" s="86">
        <v>40000</v>
      </c>
      <c r="AF79" s="87"/>
      <c r="AG79" s="88"/>
      <c r="AH79" s="88"/>
      <c r="AI79" s="88"/>
      <c r="AJ79" s="5"/>
    </row>
    <row r="80" spans="1:36" x14ac:dyDescent="0.3">
      <c r="A80" s="91" t="s">
        <v>117</v>
      </c>
      <c r="B80" s="76" t="s">
        <v>43</v>
      </c>
      <c r="C80" s="76" t="s">
        <v>111</v>
      </c>
      <c r="D80" s="31"/>
      <c r="E80" s="43">
        <f t="shared" si="8"/>
        <v>24952.2</v>
      </c>
      <c r="F80" s="29"/>
      <c r="G80" s="51">
        <f>45142-10572</f>
        <v>34570</v>
      </c>
      <c r="H80" s="59">
        <v>38388</v>
      </c>
      <c r="I80" s="51">
        <v>11157</v>
      </c>
      <c r="J80" s="59">
        <v>20016</v>
      </c>
      <c r="K80" s="49">
        <v>7086</v>
      </c>
      <c r="L80" s="29"/>
      <c r="M80" s="62">
        <f t="shared" si="9"/>
        <v>39096.6</v>
      </c>
      <c r="N80" s="58">
        <f t="shared" si="10"/>
        <v>13158.6</v>
      </c>
      <c r="O80" s="46">
        <f>SUM(M80*'Factors &amp; Percentages'!$E$6+N80*'Factors &amp; Percentages'!$E$7)</f>
        <v>3922.2902729544076</v>
      </c>
      <c r="P80" s="65">
        <v>0.5</v>
      </c>
      <c r="Q80" s="46">
        <f>P80*'Factors &amp; Percentages'!$E$10</f>
        <v>5482.7878955843717</v>
      </c>
      <c r="R80" s="69">
        <v>9560</v>
      </c>
      <c r="S80" s="46">
        <f>R80*'Factors &amp; Percentages'!$E$13</f>
        <v>16975.505798855858</v>
      </c>
      <c r="T80" s="63">
        <v>28</v>
      </c>
      <c r="U80" s="64">
        <v>93</v>
      </c>
      <c r="V80" s="63">
        <v>5619</v>
      </c>
      <c r="W80" s="46">
        <f>T80*'Factors &amp; Percentages'!$E$16+U80*'Factors &amp; Percentages'!$E$17+V80*'Factors &amp; Percentages'!$E$18</f>
        <v>5849.3380273730127</v>
      </c>
      <c r="X80" s="114"/>
      <c r="Y80" s="58">
        <f t="shared" si="11"/>
        <v>32229.921994767654</v>
      </c>
      <c r="Z80" s="71">
        <f t="shared" si="12"/>
        <v>24952.2</v>
      </c>
      <c r="AA80" s="51">
        <f>IF($AE80&gt;$Z80,$AE80*(1+'Factors &amp; Percentages'!$B$3),IF($Y80&gt;$Z80,$Z80,IF($Y80&gt;$AE80,$Y80,$AE80*(1+'Factors &amp; Percentages'!$B$3))))</f>
        <v>24952.2</v>
      </c>
      <c r="AB80" s="59">
        <f t="shared" si="13"/>
        <v>24952.2</v>
      </c>
      <c r="AC80" s="42"/>
      <c r="AD80" s="43">
        <f t="shared" si="14"/>
        <v>24952.2</v>
      </c>
      <c r="AE80" s="75">
        <v>20000</v>
      </c>
      <c r="AF80" s="32"/>
      <c r="AG80" s="33"/>
      <c r="AH80" s="33"/>
      <c r="AI80" s="33"/>
      <c r="AJ80" s="5"/>
    </row>
    <row r="81" spans="1:36" s="89" customFormat="1" x14ac:dyDescent="0.3">
      <c r="A81" s="90" t="s">
        <v>206</v>
      </c>
      <c r="B81" s="78" t="s">
        <v>43</v>
      </c>
      <c r="C81" s="78" t="s">
        <v>201</v>
      </c>
      <c r="D81" s="79"/>
      <c r="E81" s="80">
        <f t="shared" si="8"/>
        <v>25697.7</v>
      </c>
      <c r="F81" s="80"/>
      <c r="G81" s="80">
        <f>53860-16208</f>
        <v>37652</v>
      </c>
      <c r="H81" s="80">
        <v>45436</v>
      </c>
      <c r="I81" s="80">
        <v>32540</v>
      </c>
      <c r="J81" s="80">
        <v>71751</v>
      </c>
      <c r="K81" s="80">
        <v>570</v>
      </c>
      <c r="L81" s="80"/>
      <c r="M81" s="81">
        <f t="shared" si="9"/>
        <v>45493</v>
      </c>
      <c r="N81" s="81">
        <f t="shared" si="10"/>
        <v>39715.1</v>
      </c>
      <c r="O81" s="81">
        <f>SUM(M81*'Factors &amp; Percentages'!$E$6+N81*'Factors &amp; Percentages'!$E$7)</f>
        <v>5992.8563515208143</v>
      </c>
      <c r="P81" s="82">
        <v>0.5</v>
      </c>
      <c r="Q81" s="81">
        <f>P81*'Factors &amp; Percentages'!$E$10</f>
        <v>5482.7878955843717</v>
      </c>
      <c r="R81" s="83">
        <v>1527</v>
      </c>
      <c r="S81" s="81">
        <f>R81*'Factors &amp; Percentages'!$E$13</f>
        <v>2711.464158457416</v>
      </c>
      <c r="T81" s="84">
        <v>57</v>
      </c>
      <c r="U81" s="84">
        <v>86</v>
      </c>
      <c r="V81" s="84">
        <v>7317</v>
      </c>
      <c r="W81" s="81">
        <f>T81*'Factors &amp; Percentages'!$E$16+U81*'Factors &amp; Percentages'!$E$17+V81*'Factors &amp; Percentages'!$E$18</f>
        <v>9339.2068836995422</v>
      </c>
      <c r="X81" s="113"/>
      <c r="Y81" s="81">
        <f t="shared" si="11"/>
        <v>23526.315289262144</v>
      </c>
      <c r="Z81" s="85">
        <f t="shared" si="12"/>
        <v>23526.315289262144</v>
      </c>
      <c r="AA81" s="80">
        <f>IF($AE81&gt;$Z81,$AE81*(1+'Factors &amp; Percentages'!$B$3),IF($Y81&gt;$Z81,$Z81,IF($Y81&gt;$AE81,$Y81,$AE81*(1+'Factors &amp; Percentages'!$B$3))))</f>
        <v>25697.7</v>
      </c>
      <c r="AB81" s="80">
        <f t="shared" si="13"/>
        <v>25697.7</v>
      </c>
      <c r="AC81" s="85"/>
      <c r="AD81" s="80">
        <f t="shared" si="14"/>
        <v>25697.7</v>
      </c>
      <c r="AE81" s="86">
        <v>24474</v>
      </c>
      <c r="AF81" s="87"/>
      <c r="AG81" s="88"/>
      <c r="AH81" s="88"/>
      <c r="AI81" s="88"/>
      <c r="AJ81" s="5"/>
    </row>
    <row r="82" spans="1:36" x14ac:dyDescent="0.3">
      <c r="A82" s="91" t="s">
        <v>14</v>
      </c>
      <c r="B82" s="76" t="s">
        <v>8</v>
      </c>
      <c r="C82" s="76" t="s">
        <v>8</v>
      </c>
      <c r="D82" s="31"/>
      <c r="E82" s="43">
        <f t="shared" si="8"/>
        <v>59430</v>
      </c>
      <c r="F82" s="29"/>
      <c r="G82" s="51">
        <f>71172-4470</f>
        <v>66702</v>
      </c>
      <c r="H82" s="59">
        <v>94593</v>
      </c>
      <c r="I82" s="51">
        <v>19193</v>
      </c>
      <c r="J82" s="59">
        <v>49738</v>
      </c>
      <c r="K82" s="49">
        <v>9502</v>
      </c>
      <c r="L82" s="29"/>
      <c r="M82" s="62">
        <f t="shared" si="9"/>
        <v>95543.2</v>
      </c>
      <c r="N82" s="58">
        <f t="shared" si="10"/>
        <v>24166.799999999999</v>
      </c>
      <c r="O82" s="46">
        <f>SUM(M82*'Factors &amp; Percentages'!$E$6+N82*'Factors &amp; Percentages'!$E$7)</f>
        <v>9117.3733898640821</v>
      </c>
      <c r="P82" s="65">
        <v>2</v>
      </c>
      <c r="Q82" s="46">
        <f>P82*'Factors &amp; Percentages'!$E$10</f>
        <v>21931.151582337487</v>
      </c>
      <c r="R82" s="69">
        <v>1565</v>
      </c>
      <c r="S82" s="46">
        <f>R82*'Factors &amp; Percentages'!$E$13</f>
        <v>2778.9400183273451</v>
      </c>
      <c r="T82" s="63">
        <f>18+16+32</f>
        <v>66</v>
      </c>
      <c r="U82" s="64">
        <v>130</v>
      </c>
      <c r="V82" s="63">
        <v>26408</v>
      </c>
      <c r="W82" s="46">
        <f>T82*'Factors &amp; Percentages'!$E$16+U82*'Factors &amp; Percentages'!$E$17+V82*'Factors &amp; Percentages'!$E$18</f>
        <v>14469.340631048526</v>
      </c>
      <c r="X82" s="114"/>
      <c r="Y82" s="58">
        <f t="shared" si="11"/>
        <v>48296.805621577441</v>
      </c>
      <c r="Z82" s="71">
        <f t="shared" si="12"/>
        <v>48296.805621577441</v>
      </c>
      <c r="AA82" s="51">
        <f>IF($AE82&gt;$Z82,$AE82*(1+'Factors &amp; Percentages'!$B$3),IF($Y82&gt;$Z82,$Z82,IF($Y82&gt;$AE82,$Y82,$AE82*(1+'Factors &amp; Percentages'!$B$3))))</f>
        <v>59430</v>
      </c>
      <c r="AB82" s="59">
        <f t="shared" si="13"/>
        <v>59430</v>
      </c>
      <c r="AC82" s="42"/>
      <c r="AD82" s="43">
        <f t="shared" si="14"/>
        <v>59430</v>
      </c>
      <c r="AE82" s="75">
        <v>56600</v>
      </c>
      <c r="AF82" s="32"/>
      <c r="AG82" s="33"/>
      <c r="AH82" s="33"/>
      <c r="AI82" s="33"/>
      <c r="AJ82" s="5"/>
    </row>
    <row r="83" spans="1:36" s="89" customFormat="1" x14ac:dyDescent="0.3">
      <c r="A83" s="90" t="s">
        <v>134</v>
      </c>
      <c r="B83" s="78" t="s">
        <v>8</v>
      </c>
      <c r="C83" s="78" t="s">
        <v>132</v>
      </c>
      <c r="D83" s="79"/>
      <c r="E83" s="80">
        <f t="shared" si="8"/>
        <v>21693.576384104443</v>
      </c>
      <c r="F83" s="80"/>
      <c r="G83" s="80">
        <v>17961</v>
      </c>
      <c r="H83" s="80">
        <v>20824</v>
      </c>
      <c r="I83" s="80">
        <v>51723</v>
      </c>
      <c r="J83" s="80">
        <v>34557</v>
      </c>
      <c r="K83" s="80">
        <v>4647</v>
      </c>
      <c r="L83" s="80"/>
      <c r="M83" s="81">
        <f t="shared" si="9"/>
        <v>21288.7</v>
      </c>
      <c r="N83" s="81">
        <f t="shared" si="10"/>
        <v>55178.7</v>
      </c>
      <c r="O83" s="81">
        <f>SUM(M83*'Factors &amp; Percentages'!$E$6+N83*'Factors &amp; Percentages'!$E$7)</f>
        <v>4946.9928785419952</v>
      </c>
      <c r="P83" s="82">
        <v>0.5</v>
      </c>
      <c r="Q83" s="81">
        <f>P83*'Factors &amp; Percentages'!$E$10</f>
        <v>5482.7878955843717</v>
      </c>
      <c r="R83" s="83">
        <v>4073</v>
      </c>
      <c r="S83" s="81">
        <f>R83*'Factors &amp; Percentages'!$E$13</f>
        <v>7232.3467697426686</v>
      </c>
      <c r="T83" s="84">
        <v>28</v>
      </c>
      <c r="U83" s="84">
        <v>37</v>
      </c>
      <c r="V83" s="84">
        <v>929</v>
      </c>
      <c r="W83" s="81">
        <f>T83*'Factors &amp; Percentages'!$E$16+U83*'Factors &amp; Percentages'!$E$17+V83*'Factors &amp; Percentages'!$E$18</f>
        <v>4031.4488402354059</v>
      </c>
      <c r="X83" s="113"/>
      <c r="Y83" s="81">
        <f t="shared" si="11"/>
        <v>21693.576384104443</v>
      </c>
      <c r="Z83" s="85">
        <f t="shared" si="12"/>
        <v>21693.576384104443</v>
      </c>
      <c r="AA83" s="80">
        <f>IF($AE83&gt;$Z83,$AE83*(1+'Factors &amp; Percentages'!$B$3),IF($Y83&gt;$Z83,$Z83,IF($Y83&gt;$AE83,$Y83,$AE83*(1+'Factors &amp; Percentages'!$B$3))))</f>
        <v>21693.576384104443</v>
      </c>
      <c r="AB83" s="80">
        <f t="shared" si="13"/>
        <v>21693.576384104443</v>
      </c>
      <c r="AC83" s="85"/>
      <c r="AD83" s="80">
        <f t="shared" si="14"/>
        <v>21693.576384104443</v>
      </c>
      <c r="AE83" s="86">
        <v>12800</v>
      </c>
      <c r="AF83" s="87"/>
      <c r="AG83" s="88"/>
      <c r="AH83" s="88"/>
      <c r="AI83" s="88"/>
      <c r="AJ83" s="5"/>
    </row>
    <row r="84" spans="1:36" x14ac:dyDescent="0.3">
      <c r="A84" s="91" t="s">
        <v>126</v>
      </c>
      <c r="B84" s="76" t="s">
        <v>43</v>
      </c>
      <c r="C84" s="76" t="s">
        <v>123</v>
      </c>
      <c r="D84" s="31"/>
      <c r="E84" s="43">
        <f t="shared" si="8"/>
        <v>64266.3</v>
      </c>
      <c r="F84" s="29"/>
      <c r="G84" s="51">
        <f>125605-21143</f>
        <v>104462</v>
      </c>
      <c r="H84" s="59">
        <v>109421</v>
      </c>
      <c r="I84" s="51">
        <v>31511</v>
      </c>
      <c r="J84" s="59">
        <v>10677</v>
      </c>
      <c r="K84" s="49">
        <v>7651</v>
      </c>
      <c r="L84" s="29"/>
      <c r="M84" s="62">
        <f t="shared" si="9"/>
        <v>110186.1</v>
      </c>
      <c r="N84" s="58">
        <f t="shared" si="10"/>
        <v>32578.7</v>
      </c>
      <c r="O84" s="46">
        <f>SUM(M84*'Factors &amp; Percentages'!$E$6+N84*'Factors &amp; Percentages'!$E$7)</f>
        <v>10790.361569314558</v>
      </c>
      <c r="P84" s="65">
        <v>0.75</v>
      </c>
      <c r="Q84" s="46">
        <f>P84*'Factors &amp; Percentages'!$E$10</f>
        <v>8224.1818433765584</v>
      </c>
      <c r="R84" s="69">
        <v>7814</v>
      </c>
      <c r="S84" s="46">
        <f>R84*'Factors &amp; Percentages'!$E$13</f>
        <v>13875.167605884904</v>
      </c>
      <c r="T84" s="63">
        <v>48</v>
      </c>
      <c r="U84" s="64">
        <v>73</v>
      </c>
      <c r="V84" s="63">
        <v>8594</v>
      </c>
      <c r="W84" s="46">
        <f>T84*'Factors &amp; Percentages'!$E$16+U84*'Factors &amp; Percentages'!$E$17+V84*'Factors &amp; Percentages'!$E$18</f>
        <v>8296.7016576802162</v>
      </c>
      <c r="X84" s="114"/>
      <c r="Y84" s="58">
        <f t="shared" si="11"/>
        <v>41186.412676256237</v>
      </c>
      <c r="Z84" s="71">
        <f t="shared" si="12"/>
        <v>41186.412676256237</v>
      </c>
      <c r="AA84" s="51">
        <f>IF($AE84&gt;$Z84,$AE84*(1+'Factors &amp; Percentages'!$B$3),IF($Y84&gt;$Z84,$Z84,IF($Y84&gt;$AE84,$Y84,$AE84*(1+'Factors &amp; Percentages'!$B$3))))</f>
        <v>64266.3</v>
      </c>
      <c r="AB84" s="59">
        <f t="shared" si="13"/>
        <v>64266.3</v>
      </c>
      <c r="AC84" s="42"/>
      <c r="AD84" s="43">
        <f t="shared" si="14"/>
        <v>64266.3</v>
      </c>
      <c r="AE84" s="75">
        <v>61206</v>
      </c>
      <c r="AF84" s="32"/>
      <c r="AG84" s="33"/>
      <c r="AH84" s="33"/>
      <c r="AI84" s="33"/>
      <c r="AJ84" s="5"/>
    </row>
    <row r="85" spans="1:36" s="89" customFormat="1" x14ac:dyDescent="0.3">
      <c r="A85" s="90" t="s">
        <v>15</v>
      </c>
      <c r="B85" s="78" t="s">
        <v>8</v>
      </c>
      <c r="C85" s="78" t="s">
        <v>8</v>
      </c>
      <c r="D85" s="79"/>
      <c r="E85" s="80">
        <f t="shared" si="8"/>
        <v>16744.960654280294</v>
      </c>
      <c r="F85" s="80"/>
      <c r="G85" s="80">
        <f>18392-1000</f>
        <v>17392</v>
      </c>
      <c r="H85" s="80">
        <v>12286</v>
      </c>
      <c r="I85" s="80">
        <v>21936</v>
      </c>
      <c r="J85" s="80">
        <v>1015</v>
      </c>
      <c r="K85" s="80">
        <v>3</v>
      </c>
      <c r="L85" s="80"/>
      <c r="M85" s="81">
        <f t="shared" si="9"/>
        <v>12286.3</v>
      </c>
      <c r="N85" s="81">
        <f t="shared" si="10"/>
        <v>22037.5</v>
      </c>
      <c r="O85" s="81">
        <f>SUM(M85*'Factors &amp; Percentages'!$E$6+N85*'Factors &amp; Percentages'!$E$7)</f>
        <v>2280.798897072812</v>
      </c>
      <c r="P85" s="82">
        <v>0.25</v>
      </c>
      <c r="Q85" s="81">
        <f>P85*'Factors &amp; Percentages'!$E$10</f>
        <v>2741.3939477921858</v>
      </c>
      <c r="R85" s="83">
        <v>4659</v>
      </c>
      <c r="S85" s="81">
        <f>R85*'Factors &amp; Percentages'!$E$13</f>
        <v>8272.8955561578914</v>
      </c>
      <c r="T85" s="84">
        <v>25</v>
      </c>
      <c r="U85" s="84">
        <v>27</v>
      </c>
      <c r="V85" s="84">
        <v>591</v>
      </c>
      <c r="W85" s="81">
        <f>T85*'Factors &amp; Percentages'!$E$16+U85*'Factors &amp; Percentages'!$E$17+V85*'Factors &amp; Percentages'!$E$18</f>
        <v>3449.8722532574043</v>
      </c>
      <c r="X85" s="113"/>
      <c r="Y85" s="81">
        <f t="shared" si="11"/>
        <v>16744.960654280294</v>
      </c>
      <c r="Z85" s="85">
        <f t="shared" si="12"/>
        <v>16744.960654280294</v>
      </c>
      <c r="AA85" s="80">
        <f>IF($AE85&gt;$Z85,$AE85*(1+'Factors &amp; Percentages'!$B$3),IF($Y85&gt;$Z85,$Z85,IF($Y85&gt;$AE85,$Y85,$AE85*(1+'Factors &amp; Percentages'!$B$3))))</f>
        <v>16744.960654280294</v>
      </c>
      <c r="AB85" s="80">
        <f t="shared" si="13"/>
        <v>16744.960654280294</v>
      </c>
      <c r="AC85" s="85"/>
      <c r="AD85" s="80">
        <f t="shared" si="14"/>
        <v>16744.960654280294</v>
      </c>
      <c r="AE85" s="86">
        <v>6300</v>
      </c>
      <c r="AF85" s="87"/>
      <c r="AG85" s="88"/>
      <c r="AH85" s="88"/>
      <c r="AI85" s="88"/>
      <c r="AJ85" s="5"/>
    </row>
    <row r="86" spans="1:36" x14ac:dyDescent="0.3">
      <c r="A86" s="91" t="s">
        <v>167</v>
      </c>
      <c r="B86" s="76" t="s">
        <v>75</v>
      </c>
      <c r="C86" s="76" t="s">
        <v>163</v>
      </c>
      <c r="D86" s="31"/>
      <c r="E86" s="43">
        <f t="shared" si="8"/>
        <v>36508.5</v>
      </c>
      <c r="F86" s="29"/>
      <c r="G86" s="51">
        <f>50252-1300</f>
        <v>48952</v>
      </c>
      <c r="H86" s="59">
        <v>33913</v>
      </c>
      <c r="I86" s="51">
        <v>181885</v>
      </c>
      <c r="J86" s="59">
        <v>0</v>
      </c>
      <c r="K86" s="49">
        <v>0</v>
      </c>
      <c r="L86" s="29"/>
      <c r="M86" s="62">
        <f t="shared" si="9"/>
        <v>33913</v>
      </c>
      <c r="N86" s="58">
        <f t="shared" si="10"/>
        <v>181885</v>
      </c>
      <c r="O86" s="46">
        <f>SUM(M86*'Factors &amp; Percentages'!$E$6+N86*'Factors &amp; Percentages'!$E$7)</f>
        <v>13383.500686461577</v>
      </c>
      <c r="P86" s="65">
        <v>1</v>
      </c>
      <c r="Q86" s="46">
        <f>P86*'Factors &amp; Percentages'!$E$10</f>
        <v>10965.575791168743</v>
      </c>
      <c r="R86" s="69">
        <v>831</v>
      </c>
      <c r="S86" s="46">
        <f>R86*'Factors &amp; Percentages'!$E$13</f>
        <v>1475.5905145239769</v>
      </c>
      <c r="T86" s="63">
        <v>27</v>
      </c>
      <c r="U86" s="64">
        <v>50</v>
      </c>
      <c r="V86" s="63">
        <v>8167</v>
      </c>
      <c r="W86" s="46">
        <f>T86*'Factors &amp; Percentages'!$E$16+U86*'Factors &amp; Percentages'!$E$17+V86*'Factors &amp; Percentages'!$E$18</f>
        <v>5405.1072857639947</v>
      </c>
      <c r="X86" s="114"/>
      <c r="Y86" s="58">
        <f t="shared" si="11"/>
        <v>31229.774277918292</v>
      </c>
      <c r="Z86" s="71">
        <f t="shared" si="12"/>
        <v>31229.774277918292</v>
      </c>
      <c r="AA86" s="51">
        <f>IF($AE86&gt;$Z86,$AE86*(1+'Factors &amp; Percentages'!$B$3),IF($Y86&gt;$Z86,$Z86,IF($Y86&gt;$AE86,$Y86,$AE86*(1+'Factors &amp; Percentages'!$B$3))))</f>
        <v>36508.5</v>
      </c>
      <c r="AB86" s="59">
        <f t="shared" si="13"/>
        <v>36508.5</v>
      </c>
      <c r="AC86" s="42"/>
      <c r="AD86" s="43">
        <f t="shared" si="14"/>
        <v>36508.5</v>
      </c>
      <c r="AE86" s="75">
        <v>34770</v>
      </c>
      <c r="AF86" s="32"/>
      <c r="AG86" s="33"/>
      <c r="AH86" s="33"/>
      <c r="AI86" s="33"/>
      <c r="AJ86" s="5"/>
    </row>
    <row r="87" spans="1:36" s="89" customFormat="1" x14ac:dyDescent="0.3">
      <c r="A87" s="90" t="s">
        <v>118</v>
      </c>
      <c r="B87" s="78" t="s">
        <v>43</v>
      </c>
      <c r="C87" s="78" t="s">
        <v>111</v>
      </c>
      <c r="D87" s="79"/>
      <c r="E87" s="80">
        <f t="shared" si="8"/>
        <v>15898.705306330347</v>
      </c>
      <c r="F87" s="80"/>
      <c r="G87" s="80">
        <v>28584</v>
      </c>
      <c r="H87" s="80">
        <v>25072</v>
      </c>
      <c r="I87" s="80">
        <v>27407</v>
      </c>
      <c r="J87" s="80">
        <v>0</v>
      </c>
      <c r="K87" s="80">
        <v>0</v>
      </c>
      <c r="L87" s="80"/>
      <c r="M87" s="81">
        <f t="shared" si="9"/>
        <v>25072</v>
      </c>
      <c r="N87" s="81">
        <f t="shared" si="10"/>
        <v>27407</v>
      </c>
      <c r="O87" s="81">
        <f>SUM(M87*'Factors &amp; Percentages'!$E$6+N87*'Factors &amp; Percentages'!$E$7)</f>
        <v>3625.9301307622745</v>
      </c>
      <c r="P87" s="82">
        <v>0.5</v>
      </c>
      <c r="Q87" s="81">
        <f>P87*'Factors &amp; Percentages'!$E$10</f>
        <v>5482.7878955843717</v>
      </c>
      <c r="R87" s="83">
        <v>1130</v>
      </c>
      <c r="S87" s="81">
        <f>R87*'Factors &amp; Percentages'!$E$13</f>
        <v>2006.5189908689456</v>
      </c>
      <c r="T87" s="84">
        <v>30</v>
      </c>
      <c r="U87" s="84">
        <v>19</v>
      </c>
      <c r="V87" s="84">
        <v>5808</v>
      </c>
      <c r="W87" s="81">
        <f>T87*'Factors &amp; Percentages'!$E$16+U87*'Factors &amp; Percentages'!$E$17+V87*'Factors &amp; Percentages'!$E$18</f>
        <v>4783.4682891147531</v>
      </c>
      <c r="X87" s="113"/>
      <c r="Y87" s="81">
        <f t="shared" si="11"/>
        <v>15898.705306330347</v>
      </c>
      <c r="Z87" s="85">
        <f t="shared" si="12"/>
        <v>15898.705306330347</v>
      </c>
      <c r="AA87" s="80">
        <f>IF($AE87&gt;$Z87,$AE87*(1+'Factors &amp; Percentages'!$B$3),IF($Y87&gt;$Z87,$Z87,IF($Y87&gt;$AE87,$Y87,$AE87*(1+'Factors &amp; Percentages'!$B$3))))</f>
        <v>15898.705306330347</v>
      </c>
      <c r="AB87" s="80">
        <f t="shared" si="13"/>
        <v>15898.705306330347</v>
      </c>
      <c r="AC87" s="85"/>
      <c r="AD87" s="80">
        <f t="shared" si="14"/>
        <v>15898.705306330347</v>
      </c>
      <c r="AE87" s="86">
        <v>11000</v>
      </c>
      <c r="AF87" s="87"/>
      <c r="AG87" s="88"/>
      <c r="AH87" s="88"/>
      <c r="AI87" s="88"/>
      <c r="AJ87" s="5"/>
    </row>
    <row r="88" spans="1:36" x14ac:dyDescent="0.3">
      <c r="A88" s="91" t="s">
        <v>135</v>
      </c>
      <c r="B88" s="76" t="s">
        <v>8</v>
      </c>
      <c r="C88" s="76" t="s">
        <v>132</v>
      </c>
      <c r="D88" s="31"/>
      <c r="E88" s="43">
        <f t="shared" si="8"/>
        <v>23789.350000000002</v>
      </c>
      <c r="F88" s="29"/>
      <c r="G88" s="51">
        <v>33614</v>
      </c>
      <c r="H88" s="59">
        <v>36599</v>
      </c>
      <c r="I88" s="51">
        <v>12037</v>
      </c>
      <c r="J88" s="59">
        <v>45107</v>
      </c>
      <c r="K88" s="49">
        <v>14606</v>
      </c>
      <c r="L88" s="29"/>
      <c r="M88" s="62">
        <f t="shared" si="9"/>
        <v>38059.599999999999</v>
      </c>
      <c r="N88" s="58">
        <f t="shared" si="10"/>
        <v>16547.7</v>
      </c>
      <c r="O88" s="46">
        <f>SUM(M88*'Factors &amp; Percentages'!$E$6+N88*'Factors &amp; Percentages'!$E$7)</f>
        <v>4037.1258024949971</v>
      </c>
      <c r="P88" s="65">
        <v>0.375</v>
      </c>
      <c r="Q88" s="46">
        <f>P88*'Factors &amp; Percentages'!$E$10</f>
        <v>4112.0909216882792</v>
      </c>
      <c r="R88" s="69">
        <v>7979</v>
      </c>
      <c r="S88" s="46">
        <f>R88*'Factors &amp; Percentages'!$E$13</f>
        <v>14168.154892162227</v>
      </c>
      <c r="T88" s="63">
        <v>45</v>
      </c>
      <c r="U88" s="64">
        <v>83</v>
      </c>
      <c r="V88" s="63">
        <v>6565</v>
      </c>
      <c r="W88" s="46">
        <f>T88*'Factors &amp; Percentages'!$E$16+U88*'Factors &amp; Percentages'!$E$17+V88*'Factors &amp; Percentages'!$E$18</f>
        <v>7780.7682590235281</v>
      </c>
      <c r="X88" s="114"/>
      <c r="Y88" s="58">
        <f t="shared" si="11"/>
        <v>30098.13987536903</v>
      </c>
      <c r="Z88" s="71">
        <f t="shared" si="12"/>
        <v>23789.350000000002</v>
      </c>
      <c r="AA88" s="51">
        <f>IF($AE88&gt;$Z88,$AE88*(1+'Factors &amp; Percentages'!$B$3),IF($Y88&gt;$Z88,$Z88,IF($Y88&gt;$AE88,$Y88,$AE88*(1+'Factors &amp; Percentages'!$B$3))))</f>
        <v>23789.350000000002</v>
      </c>
      <c r="AB88" s="59">
        <f t="shared" si="13"/>
        <v>23789.350000000002</v>
      </c>
      <c r="AC88" s="42"/>
      <c r="AD88" s="43">
        <f t="shared" si="14"/>
        <v>23789.350000000002</v>
      </c>
      <c r="AE88" s="75">
        <v>21849</v>
      </c>
      <c r="AF88" s="32"/>
      <c r="AG88" s="33"/>
      <c r="AH88" s="33"/>
      <c r="AI88" s="33"/>
      <c r="AJ88" s="5"/>
    </row>
    <row r="89" spans="1:36" s="89" customFormat="1" x14ac:dyDescent="0.3">
      <c r="A89" s="90" t="s">
        <v>136</v>
      </c>
      <c r="B89" s="78" t="s">
        <v>8</v>
      </c>
      <c r="C89" s="78" t="s">
        <v>132</v>
      </c>
      <c r="D89" s="79"/>
      <c r="E89" s="80">
        <f t="shared" si="8"/>
        <v>20056.406224741339</v>
      </c>
      <c r="F89" s="80"/>
      <c r="G89" s="80">
        <f>63944-50983</f>
        <v>12961</v>
      </c>
      <c r="H89" s="80">
        <v>14793</v>
      </c>
      <c r="I89" s="80">
        <v>27007</v>
      </c>
      <c r="J89" s="80">
        <v>2741</v>
      </c>
      <c r="K89" s="80">
        <v>0</v>
      </c>
      <c r="L89" s="80"/>
      <c r="M89" s="81">
        <f t="shared" si="9"/>
        <v>14793</v>
      </c>
      <c r="N89" s="81">
        <f t="shared" si="10"/>
        <v>27281.1</v>
      </c>
      <c r="O89" s="81">
        <f>SUM(M89*'Factors &amp; Percentages'!$E$6+N89*'Factors &amp; Percentages'!$E$7)</f>
        <v>2789.8988407379193</v>
      </c>
      <c r="P89" s="82">
        <v>1</v>
      </c>
      <c r="Q89" s="81">
        <f>P89*'Factors &amp; Percentages'!$E$10</f>
        <v>10965.575791168743</v>
      </c>
      <c r="R89" s="83">
        <v>1032</v>
      </c>
      <c r="S89" s="81">
        <f>R89*'Factors &amp; Percentages'!$E$13</f>
        <v>1832.5022996254443</v>
      </c>
      <c r="T89" s="84">
        <v>15</v>
      </c>
      <c r="U89" s="84">
        <v>43</v>
      </c>
      <c r="V89" s="84">
        <v>11415</v>
      </c>
      <c r="W89" s="81">
        <f>T89*'Factors &amp; Percentages'!$E$16+U89*'Factors &amp; Percentages'!$E$17+V89*'Factors &amp; Percentages'!$E$18</f>
        <v>4468.4292932092321</v>
      </c>
      <c r="X89" s="113"/>
      <c r="Y89" s="81">
        <f t="shared" si="11"/>
        <v>20056.406224741339</v>
      </c>
      <c r="Z89" s="85">
        <f t="shared" si="12"/>
        <v>20056.406224741339</v>
      </c>
      <c r="AA89" s="80">
        <f>IF($AE89&gt;$Z89,$AE89*(1+'Factors &amp; Percentages'!$B$3),IF($Y89&gt;$Z89,$Z89,IF($Y89&gt;$AE89,$Y89,$AE89*(1+'Factors &amp; Percentages'!$B$3))))</f>
        <v>20056.406224741339</v>
      </c>
      <c r="AB89" s="80">
        <f t="shared" si="13"/>
        <v>20056.406224741339</v>
      </c>
      <c r="AC89" s="85"/>
      <c r="AD89" s="80">
        <f t="shared" si="14"/>
        <v>20056.406224741339</v>
      </c>
      <c r="AE89" s="86">
        <v>14206</v>
      </c>
      <c r="AF89" s="87"/>
      <c r="AG89" s="88"/>
      <c r="AH89" s="88"/>
      <c r="AI89" s="88"/>
      <c r="AJ89" s="5"/>
    </row>
    <row r="90" spans="1:36" x14ac:dyDescent="0.3">
      <c r="A90" s="91" t="s">
        <v>137</v>
      </c>
      <c r="B90" s="76" t="s">
        <v>8</v>
      </c>
      <c r="C90" s="76" t="s">
        <v>132</v>
      </c>
      <c r="D90" s="31"/>
      <c r="E90" s="43">
        <f t="shared" si="8"/>
        <v>23639.183014934006</v>
      </c>
      <c r="F90" s="29"/>
      <c r="G90" s="51">
        <v>48326</v>
      </c>
      <c r="H90" s="59">
        <v>44861</v>
      </c>
      <c r="I90" s="51">
        <v>59044</v>
      </c>
      <c r="J90" s="59">
        <v>95231</v>
      </c>
      <c r="K90" s="49">
        <v>3426</v>
      </c>
      <c r="L90" s="29"/>
      <c r="M90" s="62">
        <f t="shared" si="9"/>
        <v>45203.6</v>
      </c>
      <c r="N90" s="58">
        <f t="shared" si="10"/>
        <v>68567.100000000006</v>
      </c>
      <c r="O90" s="46">
        <f>SUM(M90*'Factors &amp; Percentages'!$E$6+N90*'Factors &amp; Percentages'!$E$7)</f>
        <v>7658.8386325819065</v>
      </c>
      <c r="P90" s="65">
        <v>0.66</v>
      </c>
      <c r="Q90" s="46">
        <f>P90*'Factors &amp; Percentages'!$E$10</f>
        <v>7237.2800221713705</v>
      </c>
      <c r="R90" s="69">
        <v>564</v>
      </c>
      <c r="S90" s="46">
        <f>R90*'Factors &amp; Percentages'!$E$13</f>
        <v>1001.48381491158</v>
      </c>
      <c r="T90" s="63">
        <v>41</v>
      </c>
      <c r="U90" s="64">
        <v>58</v>
      </c>
      <c r="V90" s="63">
        <v>11568</v>
      </c>
      <c r="W90" s="46">
        <f>T90*'Factors &amp; Percentages'!$E$16+U90*'Factors &amp; Percentages'!$E$17+V90*'Factors &amp; Percentages'!$E$18</f>
        <v>7741.5805452691466</v>
      </c>
      <c r="X90" s="114"/>
      <c r="Y90" s="58">
        <f t="shared" si="11"/>
        <v>23639.183014934006</v>
      </c>
      <c r="Z90" s="71">
        <f t="shared" si="12"/>
        <v>23639.183014934006</v>
      </c>
      <c r="AA90" s="51">
        <f>IF($AE90&gt;$Z90,$AE90*(1+'Factors &amp; Percentages'!$B$3),IF($Y90&gt;$Z90,$Z90,IF($Y90&gt;$AE90,$Y90,$AE90*(1+'Factors &amp; Percentages'!$B$3))))</f>
        <v>23639.183014934006</v>
      </c>
      <c r="AB90" s="59">
        <f t="shared" si="13"/>
        <v>23639.183014934006</v>
      </c>
      <c r="AC90" s="42"/>
      <c r="AD90" s="43">
        <f t="shared" si="14"/>
        <v>23639.183014934006</v>
      </c>
      <c r="AE90" s="75">
        <v>13437</v>
      </c>
      <c r="AF90" s="32"/>
      <c r="AG90" s="33"/>
      <c r="AH90" s="33"/>
      <c r="AI90" s="33"/>
      <c r="AJ90" s="5"/>
    </row>
    <row r="91" spans="1:36" s="89" customFormat="1" x14ac:dyDescent="0.3">
      <c r="A91" s="90" t="s">
        <v>138</v>
      </c>
      <c r="B91" s="78" t="s">
        <v>8</v>
      </c>
      <c r="C91" s="78" t="s">
        <v>132</v>
      </c>
      <c r="D91" s="79"/>
      <c r="E91" s="80">
        <f t="shared" si="8"/>
        <v>27300</v>
      </c>
      <c r="F91" s="80"/>
      <c r="G91" s="80">
        <f>52708-757</f>
        <v>51951</v>
      </c>
      <c r="H91" s="80">
        <v>73418</v>
      </c>
      <c r="I91" s="80">
        <v>72897</v>
      </c>
      <c r="J91" s="80">
        <v>64144</v>
      </c>
      <c r="K91" s="80">
        <v>4100</v>
      </c>
      <c r="L91" s="80"/>
      <c r="M91" s="81">
        <f t="shared" si="9"/>
        <v>73828</v>
      </c>
      <c r="N91" s="81">
        <f t="shared" si="10"/>
        <v>79311.399999999994</v>
      </c>
      <c r="O91" s="81">
        <f>SUM(M91*'Factors &amp; Percentages'!$E$6+N91*'Factors &amp; Percentages'!$E$7)</f>
        <v>10595.534402093088</v>
      </c>
      <c r="P91" s="82">
        <v>0.5</v>
      </c>
      <c r="Q91" s="81">
        <f>P91*'Factors &amp; Percentages'!$E$10</f>
        <v>5482.7878955843717</v>
      </c>
      <c r="R91" s="83">
        <v>251</v>
      </c>
      <c r="S91" s="81">
        <f>R91*'Factors &amp; Percentages'!$E$13</f>
        <v>445.69581124611096</v>
      </c>
      <c r="T91" s="84">
        <v>50</v>
      </c>
      <c r="U91" s="84">
        <v>90</v>
      </c>
      <c r="V91" s="84">
        <v>5028</v>
      </c>
      <c r="W91" s="81">
        <f>T91*'Factors &amp; Percentages'!$E$16+U91*'Factors &amp; Percentages'!$E$17+V91*'Factors &amp; Percentages'!$E$18</f>
        <v>8212.4677845636415</v>
      </c>
      <c r="X91" s="113"/>
      <c r="Y91" s="81">
        <f t="shared" si="11"/>
        <v>24736.48589348721</v>
      </c>
      <c r="Z91" s="85">
        <f t="shared" si="12"/>
        <v>24736.48589348721</v>
      </c>
      <c r="AA91" s="80">
        <f>IF($AE91&gt;$Z91,$AE91*(1+'Factors &amp; Percentages'!$B$3),IF($Y91&gt;$Z91,$Z91,IF($Y91&gt;$AE91,$Y91,$AE91*(1+'Factors &amp; Percentages'!$B$3))))</f>
        <v>27300</v>
      </c>
      <c r="AB91" s="80">
        <f t="shared" si="13"/>
        <v>27300</v>
      </c>
      <c r="AC91" s="85"/>
      <c r="AD91" s="80">
        <f t="shared" si="14"/>
        <v>27300</v>
      </c>
      <c r="AE91" s="86">
        <v>26000</v>
      </c>
      <c r="AF91" s="87"/>
      <c r="AG91" s="88"/>
      <c r="AH91" s="88"/>
      <c r="AI91" s="88"/>
      <c r="AJ91" s="5"/>
    </row>
    <row r="92" spans="1:36" x14ac:dyDescent="0.3">
      <c r="A92" s="91" t="s">
        <v>139</v>
      </c>
      <c r="B92" s="76" t="s">
        <v>8</v>
      </c>
      <c r="C92" s="76" t="s">
        <v>132</v>
      </c>
      <c r="D92" s="31"/>
      <c r="E92" s="43">
        <f t="shared" si="8"/>
        <v>23596.159510796926</v>
      </c>
      <c r="F92" s="29"/>
      <c r="G92" s="51">
        <v>41121</v>
      </c>
      <c r="H92" s="59">
        <v>38924</v>
      </c>
      <c r="I92" s="51">
        <v>17741</v>
      </c>
      <c r="J92" s="59">
        <v>7315</v>
      </c>
      <c r="K92" s="49">
        <v>3917</v>
      </c>
      <c r="L92" s="29"/>
      <c r="M92" s="62">
        <f t="shared" si="9"/>
        <v>39315.699999999997</v>
      </c>
      <c r="N92" s="58">
        <f t="shared" si="10"/>
        <v>18472.5</v>
      </c>
      <c r="O92" s="46">
        <f>SUM(M92*'Factors &amp; Percentages'!$E$6+N92*'Factors &amp; Percentages'!$E$7)</f>
        <v>4251.0874398402057</v>
      </c>
      <c r="P92" s="65">
        <v>0.66</v>
      </c>
      <c r="Q92" s="46">
        <f>P92*'Factors &amp; Percentages'!$E$10</f>
        <v>7237.2800221713705</v>
      </c>
      <c r="R92" s="69">
        <v>3244</v>
      </c>
      <c r="S92" s="46">
        <f>R92*'Factors &amp; Percentages'!$E$13</f>
        <v>5760.3076162644775</v>
      </c>
      <c r="T92" s="63">
        <v>30</v>
      </c>
      <c r="U92" s="64">
        <v>62</v>
      </c>
      <c r="V92" s="63">
        <v>10379</v>
      </c>
      <c r="W92" s="46">
        <f>T92*'Factors &amp; Percentages'!$E$16+U92*'Factors &amp; Percentages'!$E$17+V92*'Factors &amp; Percentages'!$E$18</f>
        <v>6347.4844325208705</v>
      </c>
      <c r="X92" s="114"/>
      <c r="Y92" s="58">
        <f t="shared" si="11"/>
        <v>23596.159510796926</v>
      </c>
      <c r="Z92" s="71">
        <f t="shared" si="12"/>
        <v>23596.159510796926</v>
      </c>
      <c r="AA92" s="51">
        <f>IF($AE92&gt;$Z92,$AE92*(1+'Factors &amp; Percentages'!$B$3),IF($Y92&gt;$Z92,$Z92,IF($Y92&gt;$AE92,$Y92,$AE92*(1+'Factors &amp; Percentages'!$B$3))))</f>
        <v>23596.159510796926</v>
      </c>
      <c r="AB92" s="59">
        <f t="shared" si="13"/>
        <v>23596.159510796926</v>
      </c>
      <c r="AC92" s="42"/>
      <c r="AD92" s="43">
        <f t="shared" si="14"/>
        <v>23596.159510796926</v>
      </c>
      <c r="AE92" s="75">
        <v>12000</v>
      </c>
      <c r="AF92" s="32"/>
      <c r="AG92" s="33"/>
      <c r="AH92" s="33"/>
      <c r="AI92" s="33"/>
      <c r="AJ92" s="5"/>
    </row>
    <row r="93" spans="1:36" s="89" customFormat="1" x14ac:dyDescent="0.3">
      <c r="A93" s="90" t="s">
        <v>140</v>
      </c>
      <c r="B93" s="78" t="s">
        <v>8</v>
      </c>
      <c r="C93" s="78" t="s">
        <v>132</v>
      </c>
      <c r="D93" s="79"/>
      <c r="E93" s="80">
        <f t="shared" si="8"/>
        <v>15325.532105778177</v>
      </c>
      <c r="F93" s="80"/>
      <c r="G93" s="80">
        <v>17469</v>
      </c>
      <c r="H93" s="80">
        <v>24149</v>
      </c>
      <c r="I93" s="80">
        <v>28786</v>
      </c>
      <c r="J93" s="80">
        <v>40427</v>
      </c>
      <c r="K93" s="80">
        <v>345</v>
      </c>
      <c r="L93" s="80"/>
      <c r="M93" s="81">
        <f t="shared" si="9"/>
        <v>24183.5</v>
      </c>
      <c r="N93" s="81">
        <f t="shared" si="10"/>
        <v>32828.699999999997</v>
      </c>
      <c r="O93" s="81">
        <f>SUM(M93*'Factors &amp; Percentages'!$E$6+N93*'Factors &amp; Percentages'!$E$7)</f>
        <v>3871.7479645721005</v>
      </c>
      <c r="P93" s="82">
        <v>0.5</v>
      </c>
      <c r="Q93" s="81">
        <f>P93*'Factors &amp; Percentages'!$E$10</f>
        <v>5482.7878955843717</v>
      </c>
      <c r="R93" s="83">
        <v>167</v>
      </c>
      <c r="S93" s="81">
        <f>R93*'Factors &amp; Percentages'!$E$13</f>
        <v>296.53864732310967</v>
      </c>
      <c r="T93" s="84">
        <v>30</v>
      </c>
      <c r="U93" s="84">
        <v>50</v>
      </c>
      <c r="V93" s="84">
        <v>7739</v>
      </c>
      <c r="W93" s="81">
        <f>T93*'Factors &amp; Percentages'!$E$16+U93*'Factors &amp; Percentages'!$E$17+V93*'Factors &amp; Percentages'!$E$18</f>
        <v>5674.4575982985934</v>
      </c>
      <c r="X93" s="113"/>
      <c r="Y93" s="81">
        <f t="shared" si="11"/>
        <v>15325.532105778177</v>
      </c>
      <c r="Z93" s="85">
        <f t="shared" si="12"/>
        <v>15325.532105778177</v>
      </c>
      <c r="AA93" s="80">
        <f>IF($AE93&gt;$Z93,$AE93*(1+'Factors &amp; Percentages'!$B$3),IF($Y93&gt;$Z93,$Z93,IF($Y93&gt;$AE93,$Y93,$AE93*(1+'Factors &amp; Percentages'!$B$3))))</f>
        <v>15325.532105778177</v>
      </c>
      <c r="AB93" s="80">
        <f t="shared" si="13"/>
        <v>15325.532105778177</v>
      </c>
      <c r="AC93" s="85"/>
      <c r="AD93" s="80">
        <f t="shared" si="14"/>
        <v>15325.532105778177</v>
      </c>
      <c r="AE93" s="86">
        <v>13125</v>
      </c>
      <c r="AF93" s="87"/>
      <c r="AG93" s="88"/>
      <c r="AH93" s="88"/>
      <c r="AI93" s="88"/>
      <c r="AJ93" s="5"/>
    </row>
    <row r="94" spans="1:36" x14ac:dyDescent="0.3">
      <c r="A94" s="91" t="s">
        <v>141</v>
      </c>
      <c r="B94" s="76" t="s">
        <v>8</v>
      </c>
      <c r="C94" s="76" t="s">
        <v>132</v>
      </c>
      <c r="D94" s="31"/>
      <c r="E94" s="43">
        <f t="shared" si="8"/>
        <v>20712.364818919119</v>
      </c>
      <c r="F94" s="29"/>
      <c r="G94" s="51">
        <v>21826</v>
      </c>
      <c r="H94" s="59">
        <v>24933</v>
      </c>
      <c r="I94" s="51">
        <v>118503</v>
      </c>
      <c r="J94" s="59">
        <v>739</v>
      </c>
      <c r="K94" s="49">
        <v>38</v>
      </c>
      <c r="L94" s="29"/>
      <c r="M94" s="62">
        <f t="shared" si="9"/>
        <v>24936.799999999999</v>
      </c>
      <c r="N94" s="58">
        <f t="shared" si="10"/>
        <v>118576.9</v>
      </c>
      <c r="O94" s="46">
        <f>SUM(M94*'Factors &amp; Percentages'!$E$6+N94*'Factors &amp; Percentages'!$E$7)</f>
        <v>8953.1174125785237</v>
      </c>
      <c r="P94" s="65">
        <v>0.5</v>
      </c>
      <c r="Q94" s="46">
        <f>P94*'Factors &amp; Percentages'!$E$10</f>
        <v>5482.7878955843717</v>
      </c>
      <c r="R94" s="69">
        <v>324</v>
      </c>
      <c r="S94" s="46">
        <f>R94*'Factors &amp; Percentages'!$E$13</f>
        <v>575.32048941729056</v>
      </c>
      <c r="T94" s="63">
        <v>32</v>
      </c>
      <c r="U94" s="64">
        <v>56</v>
      </c>
      <c r="V94" s="63">
        <v>5951</v>
      </c>
      <c r="W94" s="46">
        <f>T94*'Factors &amp; Percentages'!$E$16+U94*'Factors &amp; Percentages'!$E$17+V94*'Factors &amp; Percentages'!$E$18</f>
        <v>5701.1390213389332</v>
      </c>
      <c r="X94" s="114"/>
      <c r="Y94" s="58">
        <f t="shared" si="11"/>
        <v>20712.364818919119</v>
      </c>
      <c r="Z94" s="71">
        <f t="shared" si="12"/>
        <v>20712.364818919119</v>
      </c>
      <c r="AA94" s="51">
        <f>IF($AE94&gt;$Z94,$AE94*(1+'Factors &amp; Percentages'!$B$3),IF($Y94&gt;$Z94,$Z94,IF($Y94&gt;$AE94,$Y94,$AE94*(1+'Factors &amp; Percentages'!$B$3))))</f>
        <v>20712.364818919119</v>
      </c>
      <c r="AB94" s="59">
        <f t="shared" si="13"/>
        <v>20712.364818919119</v>
      </c>
      <c r="AC94" s="42"/>
      <c r="AD94" s="43">
        <f t="shared" si="14"/>
        <v>20712.364818919119</v>
      </c>
      <c r="AE94" s="75">
        <v>14187</v>
      </c>
      <c r="AF94" s="32"/>
      <c r="AG94" s="33"/>
      <c r="AH94" s="33"/>
      <c r="AI94" s="33"/>
      <c r="AJ94" s="5"/>
    </row>
    <row r="95" spans="1:36" s="89" customFormat="1" x14ac:dyDescent="0.3">
      <c r="A95" s="90" t="s">
        <v>150</v>
      </c>
      <c r="B95" s="78" t="s">
        <v>43</v>
      </c>
      <c r="C95" s="78" t="s">
        <v>145</v>
      </c>
      <c r="D95" s="79"/>
      <c r="E95" s="80">
        <f t="shared" si="8"/>
        <v>34669.320191727311</v>
      </c>
      <c r="F95" s="80"/>
      <c r="G95" s="80">
        <v>74705</v>
      </c>
      <c r="H95" s="80">
        <v>70708</v>
      </c>
      <c r="I95" s="80">
        <v>91540</v>
      </c>
      <c r="J95" s="80">
        <v>39777</v>
      </c>
      <c r="K95" s="80">
        <v>0</v>
      </c>
      <c r="L95" s="80"/>
      <c r="M95" s="81">
        <f t="shared" si="9"/>
        <v>70708</v>
      </c>
      <c r="N95" s="81">
        <f t="shared" si="10"/>
        <v>95517.7</v>
      </c>
      <c r="O95" s="81">
        <f>SUM(M95*'Factors &amp; Percentages'!$E$6+N95*'Factors &amp; Percentages'!$E$7)</f>
        <v>11292.904786650868</v>
      </c>
      <c r="P95" s="82">
        <v>0.5</v>
      </c>
      <c r="Q95" s="81">
        <f>P95*'Factors &amp; Percentages'!$E$10</f>
        <v>5482.7878955843717</v>
      </c>
      <c r="R95" s="83">
        <v>5855</v>
      </c>
      <c r="S95" s="81">
        <f>R95*'Factors &amp; Percentages'!$E$13</f>
        <v>10396.609461537768</v>
      </c>
      <c r="T95" s="84">
        <v>38</v>
      </c>
      <c r="U95" s="84">
        <v>85</v>
      </c>
      <c r="V95" s="84">
        <v>9345</v>
      </c>
      <c r="W95" s="81">
        <f>T95*'Factors &amp; Percentages'!$E$16+U95*'Factors &amp; Percentages'!$E$17+V95*'Factors &amp; Percentages'!$E$18</f>
        <v>7497.0180479543014</v>
      </c>
      <c r="X95" s="113"/>
      <c r="Y95" s="81">
        <f t="shared" si="11"/>
        <v>34669.320191727311</v>
      </c>
      <c r="Z95" s="85">
        <f t="shared" si="12"/>
        <v>34669.320191727311</v>
      </c>
      <c r="AA95" s="80">
        <f>IF($AE95&gt;$Z95,$AE95*(1+'Factors &amp; Percentages'!$B$3),IF($Y95&gt;$Z95,$Z95,IF($Y95&gt;$AE95,$Y95,$AE95*(1+'Factors &amp; Percentages'!$B$3))))</f>
        <v>34669.320191727311</v>
      </c>
      <c r="AB95" s="80">
        <f t="shared" si="13"/>
        <v>34669.320191727311</v>
      </c>
      <c r="AC95" s="85"/>
      <c r="AD95" s="80">
        <f t="shared" si="14"/>
        <v>34669.320191727311</v>
      </c>
      <c r="AE95" s="86">
        <v>33665</v>
      </c>
      <c r="AF95" s="87"/>
      <c r="AG95" s="88"/>
      <c r="AH95" s="88"/>
      <c r="AI95" s="88"/>
      <c r="AJ95" s="5"/>
    </row>
    <row r="96" spans="1:36" x14ac:dyDescent="0.3">
      <c r="A96" s="91" t="s">
        <v>224</v>
      </c>
      <c r="B96" s="76" t="s">
        <v>43</v>
      </c>
      <c r="C96" s="76" t="s">
        <v>99</v>
      </c>
      <c r="D96" s="31"/>
      <c r="E96" s="43">
        <f t="shared" si="8"/>
        <v>7054.6290018472819</v>
      </c>
      <c r="F96" s="29"/>
      <c r="G96" s="51">
        <v>10974</v>
      </c>
      <c r="H96" s="59">
        <v>10974</v>
      </c>
      <c r="I96" s="51">
        <v>3799</v>
      </c>
      <c r="J96" s="59">
        <v>7612</v>
      </c>
      <c r="K96" s="49">
        <v>366</v>
      </c>
      <c r="L96" s="29"/>
      <c r="M96" s="62">
        <f t="shared" si="9"/>
        <v>11010.6</v>
      </c>
      <c r="N96" s="58">
        <f t="shared" si="10"/>
        <v>4560.2</v>
      </c>
      <c r="O96" s="46">
        <f>SUM(M96*'Factors &amp; Percentages'!$E$6+N96*'Factors &amp; Percentages'!$E$7)</f>
        <v>1154.6431098156011</v>
      </c>
      <c r="P96" s="70">
        <v>0.265625</v>
      </c>
      <c r="Q96" s="46">
        <f>P96*'Factors &amp; Percentages'!$E$10</f>
        <v>2912.7310695291976</v>
      </c>
      <c r="R96" s="69">
        <v>457</v>
      </c>
      <c r="S96" s="46">
        <f>R96*'Factors &amp; Percentages'!$E$13</f>
        <v>811.48599896204257</v>
      </c>
      <c r="T96" s="63">
        <v>12</v>
      </c>
      <c r="U96" s="64">
        <v>27</v>
      </c>
      <c r="V96" s="63">
        <v>1829</v>
      </c>
      <c r="W96" s="46">
        <f>T96*'Factors &amp; Percentages'!$E$16+U96*'Factors &amp; Percentages'!$E$17+V96*'Factors &amp; Percentages'!$E$18</f>
        <v>2175.7688235404403</v>
      </c>
      <c r="X96" s="114"/>
      <c r="Y96" s="58">
        <f t="shared" si="11"/>
        <v>7054.6290018472819</v>
      </c>
      <c r="Z96" s="71">
        <f t="shared" si="12"/>
        <v>7054.6290018472819</v>
      </c>
      <c r="AA96" s="51">
        <f>IF($AE96&gt;$Z96,$AE96*(1+'Factors &amp; Percentages'!$B$3),IF($Y96&gt;$Z96,$Z96,IF($Y96&gt;$AE96,$Y96,$AE96*(1+'Factors &amp; Percentages'!$B$3))))</f>
        <v>7054.6290018472819</v>
      </c>
      <c r="AB96" s="59">
        <f t="shared" si="13"/>
        <v>7054.6290018472819</v>
      </c>
      <c r="AC96" s="42"/>
      <c r="AD96" s="43">
        <f t="shared" si="14"/>
        <v>7054.6290018472819</v>
      </c>
      <c r="AE96" s="75">
        <v>4000</v>
      </c>
      <c r="AF96" s="32"/>
      <c r="AG96" s="33"/>
      <c r="AH96" s="33"/>
      <c r="AI96" s="33"/>
      <c r="AJ96" s="5"/>
    </row>
    <row r="97" spans="1:36" s="89" customFormat="1" x14ac:dyDescent="0.3">
      <c r="A97" s="90" t="s">
        <v>69</v>
      </c>
      <c r="B97" s="78" t="s">
        <v>8</v>
      </c>
      <c r="C97" s="78" t="s">
        <v>59</v>
      </c>
      <c r="D97" s="79"/>
      <c r="E97" s="80">
        <f t="shared" si="8"/>
        <v>52500</v>
      </c>
      <c r="F97" s="80"/>
      <c r="G97" s="80">
        <v>81177</v>
      </c>
      <c r="H97" s="80">
        <v>98068</v>
      </c>
      <c r="I97" s="80">
        <v>13131</v>
      </c>
      <c r="J97" s="80">
        <v>76127</v>
      </c>
      <c r="K97" s="80">
        <v>40157</v>
      </c>
      <c r="L97" s="80"/>
      <c r="M97" s="81">
        <f t="shared" si="9"/>
        <v>102083.7</v>
      </c>
      <c r="N97" s="81">
        <f t="shared" si="10"/>
        <v>20743.7</v>
      </c>
      <c r="O97" s="81">
        <f>SUM(M97*'Factors &amp; Percentages'!$E$6+N97*'Factors &amp; Percentages'!$E$7)</f>
        <v>9444.2214904389566</v>
      </c>
      <c r="P97" s="82">
        <v>0.9</v>
      </c>
      <c r="Q97" s="81">
        <f>P97*'Factors &amp; Percentages'!$E$10</f>
        <v>9869.0182120518693</v>
      </c>
      <c r="R97" s="83">
        <v>1545</v>
      </c>
      <c r="S97" s="81">
        <f>R97*'Factors &amp; Percentages'!$E$13</f>
        <v>2743.4264078694878</v>
      </c>
      <c r="T97" s="84">
        <v>50</v>
      </c>
      <c r="U97" s="84">
        <v>116</v>
      </c>
      <c r="V97" s="84">
        <v>12125</v>
      </c>
      <c r="W97" s="81">
        <f>T97*'Factors &amp; Percentages'!$E$16+U97*'Factors &amp; Percentages'!$E$17+V97*'Factors &amp; Percentages'!$E$18</f>
        <v>9909.4392533852006</v>
      </c>
      <c r="X97" s="113"/>
      <c r="Y97" s="81">
        <f t="shared" si="11"/>
        <v>31966.105363745515</v>
      </c>
      <c r="Z97" s="85">
        <f t="shared" si="12"/>
        <v>31966.105363745515</v>
      </c>
      <c r="AA97" s="80">
        <f>IF($AE97&gt;$Z97,$AE97*(1+'Factors &amp; Percentages'!$B$3),IF($Y97&gt;$Z97,$Z97,IF($Y97&gt;$AE97,$Y97,$AE97*(1+'Factors &amp; Percentages'!$B$3))))</f>
        <v>52500</v>
      </c>
      <c r="AB97" s="80">
        <f t="shared" si="13"/>
        <v>52500</v>
      </c>
      <c r="AC97" s="85"/>
      <c r="AD97" s="80">
        <f t="shared" si="14"/>
        <v>52500</v>
      </c>
      <c r="AE97" s="86">
        <v>50000</v>
      </c>
      <c r="AF97" s="87"/>
      <c r="AG97" s="88"/>
      <c r="AH97" s="88"/>
      <c r="AI97" s="88"/>
      <c r="AJ97" s="5"/>
    </row>
    <row r="98" spans="1:36" x14ac:dyDescent="0.3">
      <c r="A98" s="91" t="s">
        <v>102</v>
      </c>
      <c r="B98" s="76" t="s">
        <v>43</v>
      </c>
      <c r="C98" s="76" t="s">
        <v>99</v>
      </c>
      <c r="D98" s="31"/>
      <c r="E98" s="43">
        <f t="shared" si="8"/>
        <v>14107.800000000001</v>
      </c>
      <c r="F98" s="29"/>
      <c r="G98" s="51">
        <v>14958</v>
      </c>
      <c r="H98" s="59">
        <v>19674</v>
      </c>
      <c r="I98" s="51">
        <v>38514</v>
      </c>
      <c r="J98" s="59">
        <v>3599</v>
      </c>
      <c r="K98" s="49">
        <v>1173</v>
      </c>
      <c r="L98" s="29"/>
      <c r="M98" s="62">
        <f t="shared" si="9"/>
        <v>19791.3</v>
      </c>
      <c r="N98" s="58">
        <f t="shared" si="10"/>
        <v>38873.9</v>
      </c>
      <c r="O98" s="46">
        <f>SUM(M98*'Factors &amp; Percentages'!$E$6+N98*'Factors &amp; Percentages'!$E$7)</f>
        <v>3871.6153744939757</v>
      </c>
      <c r="P98" s="70">
        <v>0.265625</v>
      </c>
      <c r="Q98" s="46">
        <f>P98*'Factors &amp; Percentages'!$E$10</f>
        <v>2912.7310695291976</v>
      </c>
      <c r="R98" s="69">
        <v>2061</v>
      </c>
      <c r="S98" s="46">
        <f>R98*'Factors &amp; Percentages'!$E$13</f>
        <v>3659.6775576822097</v>
      </c>
      <c r="T98" s="63">
        <v>16</v>
      </c>
      <c r="U98" s="64">
        <v>31</v>
      </c>
      <c r="V98" s="63">
        <v>483</v>
      </c>
      <c r="W98" s="46">
        <f>T98*'Factors &amp; Percentages'!$E$16+U98*'Factors &amp; Percentages'!$E$17+V98*'Factors &amp; Percentages'!$E$18</f>
        <v>2472.2402716039651</v>
      </c>
      <c r="X98" s="114"/>
      <c r="Y98" s="58">
        <f t="shared" si="11"/>
        <v>12916.264273309347</v>
      </c>
      <c r="Z98" s="71">
        <f t="shared" si="12"/>
        <v>12916.264273309347</v>
      </c>
      <c r="AA98" s="51">
        <f>IF($AE98&gt;$Z98,$AE98*(1+'Factors &amp; Percentages'!$B$3),IF($Y98&gt;$Z98,$Z98,IF($Y98&gt;$AE98,$Y98,$AE98*(1+'Factors &amp; Percentages'!$B$3))))</f>
        <v>14107.800000000001</v>
      </c>
      <c r="AB98" s="59">
        <f t="shared" si="13"/>
        <v>14107.800000000001</v>
      </c>
      <c r="AC98" s="42"/>
      <c r="AD98" s="43">
        <f t="shared" si="14"/>
        <v>14107.800000000001</v>
      </c>
      <c r="AE98" s="75">
        <v>13436</v>
      </c>
      <c r="AF98" s="32"/>
      <c r="AG98" s="33"/>
      <c r="AH98" s="33"/>
      <c r="AI98" s="33"/>
      <c r="AJ98" s="5"/>
    </row>
    <row r="99" spans="1:36" s="89" customFormat="1" x14ac:dyDescent="0.3">
      <c r="A99" s="90" t="s">
        <v>177</v>
      </c>
      <c r="B99" s="78" t="s">
        <v>8</v>
      </c>
      <c r="C99" s="78" t="s">
        <v>175</v>
      </c>
      <c r="D99" s="79"/>
      <c r="E99" s="80">
        <f t="shared" ref="E99:E130" si="15">+AB99</f>
        <v>7348.9000000000005</v>
      </c>
      <c r="F99" s="80"/>
      <c r="G99" s="80">
        <v>10590</v>
      </c>
      <c r="H99" s="80">
        <v>11306</v>
      </c>
      <c r="I99" s="80">
        <v>7659</v>
      </c>
      <c r="J99" s="80">
        <v>2193</v>
      </c>
      <c r="K99" s="80">
        <v>448</v>
      </c>
      <c r="L99" s="80"/>
      <c r="M99" s="81">
        <f t="shared" si="9"/>
        <v>11350.8</v>
      </c>
      <c r="N99" s="81">
        <f t="shared" si="10"/>
        <v>7878.3</v>
      </c>
      <c r="O99" s="81">
        <f>SUM(M99*'Factors &amp; Percentages'!$E$6+N99*'Factors &amp; Percentages'!$E$7)</f>
        <v>1376.3469280695074</v>
      </c>
      <c r="P99" s="82">
        <v>0.25</v>
      </c>
      <c r="Q99" s="81">
        <f>P99*'Factors &amp; Percentages'!$E$10</f>
        <v>2741.3939477921858</v>
      </c>
      <c r="R99" s="83">
        <v>2650</v>
      </c>
      <c r="S99" s="81">
        <f>R99*'Factors &amp; Percentages'!$E$13</f>
        <v>4705.5533856661114</v>
      </c>
      <c r="T99" s="84">
        <v>20</v>
      </c>
      <c r="U99" s="84">
        <v>10</v>
      </c>
      <c r="V99" s="84">
        <v>384</v>
      </c>
      <c r="W99" s="81">
        <f>T99*'Factors &amp; Percentages'!$E$16+U99*'Factors &amp; Percentages'!$E$17+V99*'Factors &amp; Percentages'!$E$18</f>
        <v>2536.3791077470332</v>
      </c>
      <c r="X99" s="113"/>
      <c r="Y99" s="81">
        <f t="shared" si="11"/>
        <v>11359.673369274838</v>
      </c>
      <c r="Z99" s="85">
        <f t="shared" si="12"/>
        <v>7348.9000000000005</v>
      </c>
      <c r="AA99" s="80">
        <f>IF($AE99&gt;$Z99,$AE99*(1+'Factors &amp; Percentages'!$B$3),IF($Y99&gt;$Z99,$Z99,IF($Y99&gt;$AE99,$Y99,$AE99*(1+'Factors &amp; Percentages'!$B$3))))</f>
        <v>7348.9000000000005</v>
      </c>
      <c r="AB99" s="80">
        <f t="shared" si="13"/>
        <v>7348.9000000000005</v>
      </c>
      <c r="AC99" s="85"/>
      <c r="AD99" s="80">
        <f t="shared" si="14"/>
        <v>7348.9000000000005</v>
      </c>
      <c r="AE99" s="86">
        <v>3000</v>
      </c>
      <c r="AF99" s="87"/>
      <c r="AG99" s="88"/>
      <c r="AH99" s="88"/>
      <c r="AI99" s="88"/>
      <c r="AJ99" s="5"/>
    </row>
    <row r="100" spans="1:36" x14ac:dyDescent="0.3">
      <c r="A100" s="91" t="s">
        <v>151</v>
      </c>
      <c r="B100" s="76" t="s">
        <v>43</v>
      </c>
      <c r="C100" s="76" t="s">
        <v>145</v>
      </c>
      <c r="D100" s="31"/>
      <c r="E100" s="43">
        <f t="shared" si="15"/>
        <v>17114.806737639989</v>
      </c>
      <c r="F100" s="29"/>
      <c r="G100" s="51">
        <f>30637-500</f>
        <v>30137</v>
      </c>
      <c r="H100" s="59">
        <v>25070</v>
      </c>
      <c r="I100" s="51">
        <v>33951</v>
      </c>
      <c r="J100" s="59">
        <v>0</v>
      </c>
      <c r="K100" s="49">
        <v>7623</v>
      </c>
      <c r="L100" s="29"/>
      <c r="M100" s="62">
        <f t="shared" si="9"/>
        <v>25832.3</v>
      </c>
      <c r="N100" s="58">
        <f t="shared" si="10"/>
        <v>33951</v>
      </c>
      <c r="O100" s="46">
        <f>SUM(M100*'Factors &amp; Percentages'!$E$6+N100*'Factors &amp; Percentages'!$E$7)</f>
        <v>4070.3806467228078</v>
      </c>
      <c r="P100" s="65">
        <v>0.5</v>
      </c>
      <c r="Q100" s="46">
        <f>P100*'Factors &amp; Percentages'!$E$10</f>
        <v>5482.7878955843717</v>
      </c>
      <c r="R100" s="69">
        <v>1134</v>
      </c>
      <c r="S100" s="46">
        <f>R100*'Factors &amp; Percentages'!$E$13</f>
        <v>2013.6217129605172</v>
      </c>
      <c r="T100" s="63">
        <v>22</v>
      </c>
      <c r="U100" s="64">
        <v>62</v>
      </c>
      <c r="V100" s="63">
        <v>11052</v>
      </c>
      <c r="W100" s="46">
        <f>T100*'Factors &amp; Percentages'!$E$16+U100*'Factors &amp; Percentages'!$E$17+V100*'Factors &amp; Percentages'!$E$18</f>
        <v>5548.0164823722916</v>
      </c>
      <c r="X100" s="114"/>
      <c r="Y100" s="58">
        <f t="shared" si="11"/>
        <v>17114.806737639989</v>
      </c>
      <c r="Z100" s="71">
        <f t="shared" si="12"/>
        <v>17114.806737639989</v>
      </c>
      <c r="AA100" s="51">
        <f>IF($AE100&gt;$Z100,$AE100*(1+'Factors &amp; Percentages'!$B$3),IF($Y100&gt;$Z100,$Z100,IF($Y100&gt;$AE100,$Y100,$AE100*(1+'Factors &amp; Percentages'!$B$3))))</f>
        <v>17114.806737639989</v>
      </c>
      <c r="AB100" s="59">
        <f t="shared" si="13"/>
        <v>17114.806737639989</v>
      </c>
      <c r="AC100" s="42"/>
      <c r="AD100" s="43">
        <f t="shared" si="14"/>
        <v>17114.806737639989</v>
      </c>
      <c r="AE100" s="75">
        <v>8000</v>
      </c>
      <c r="AF100" s="32"/>
      <c r="AG100" s="33"/>
      <c r="AH100" s="33"/>
      <c r="AI100" s="33"/>
      <c r="AJ100" s="5"/>
    </row>
    <row r="101" spans="1:36" s="89" customFormat="1" x14ac:dyDescent="0.3">
      <c r="A101" s="90" t="s">
        <v>152</v>
      </c>
      <c r="B101" s="78" t="s">
        <v>43</v>
      </c>
      <c r="C101" s="78" t="s">
        <v>145</v>
      </c>
      <c r="D101" s="79"/>
      <c r="E101" s="80">
        <f t="shared" si="15"/>
        <v>50852.55</v>
      </c>
      <c r="F101" s="80"/>
      <c r="G101" s="80">
        <v>60083</v>
      </c>
      <c r="H101" s="80">
        <v>76114</v>
      </c>
      <c r="I101" s="80">
        <v>34068</v>
      </c>
      <c r="J101" s="80">
        <v>3529</v>
      </c>
      <c r="K101" s="80">
        <v>4132</v>
      </c>
      <c r="L101" s="80"/>
      <c r="M101" s="81">
        <f t="shared" si="9"/>
        <v>76527.199999999997</v>
      </c>
      <c r="N101" s="81">
        <f t="shared" si="10"/>
        <v>34420.9</v>
      </c>
      <c r="O101" s="81">
        <f>SUM(M101*'Factors &amp; Percentages'!$E$6+N101*'Factors &amp; Percentages'!$E$7)</f>
        <v>8184.7525641898892</v>
      </c>
      <c r="P101" s="82">
        <v>0.75</v>
      </c>
      <c r="Q101" s="81">
        <f>P101*'Factors &amp; Percentages'!$E$10</f>
        <v>8224.1818433765584</v>
      </c>
      <c r="R101" s="83">
        <v>1622</v>
      </c>
      <c r="S101" s="81">
        <f>R101*'Factors &amp; Percentages'!$E$13</f>
        <v>2880.1538081322387</v>
      </c>
      <c r="T101" s="84">
        <v>57</v>
      </c>
      <c r="U101" s="84">
        <v>82</v>
      </c>
      <c r="V101" s="84">
        <v>9012</v>
      </c>
      <c r="W101" s="81">
        <f>T101*'Factors &amp; Percentages'!$E$16+U101*'Factors &amp; Percentages'!$E$17+V101*'Factors &amp; Percentages'!$E$18</f>
        <v>9561.3225961486078</v>
      </c>
      <c r="X101" s="113"/>
      <c r="Y101" s="81">
        <f t="shared" si="11"/>
        <v>28850.410811847294</v>
      </c>
      <c r="Z101" s="85">
        <f t="shared" si="12"/>
        <v>28850.410811847294</v>
      </c>
      <c r="AA101" s="80">
        <f>IF($AE101&gt;$Z101,$AE101*(1+'Factors &amp; Percentages'!$B$3),IF($Y101&gt;$Z101,$Z101,IF($Y101&gt;$AE101,$Y101,$AE101*(1+'Factors &amp; Percentages'!$B$3))))</f>
        <v>50852.55</v>
      </c>
      <c r="AB101" s="80">
        <f t="shared" si="13"/>
        <v>50852.55</v>
      </c>
      <c r="AC101" s="85"/>
      <c r="AD101" s="80">
        <f t="shared" si="14"/>
        <v>50852.55</v>
      </c>
      <c r="AE101" s="86">
        <v>48431</v>
      </c>
      <c r="AF101" s="87"/>
      <c r="AG101" s="88"/>
      <c r="AH101" s="88"/>
      <c r="AI101" s="88"/>
      <c r="AJ101" s="5"/>
    </row>
    <row r="102" spans="1:36" x14ac:dyDescent="0.3">
      <c r="A102" s="91" t="s">
        <v>153</v>
      </c>
      <c r="B102" s="76" t="s">
        <v>43</v>
      </c>
      <c r="C102" s="76" t="s">
        <v>145</v>
      </c>
      <c r="D102" s="31"/>
      <c r="E102" s="43">
        <f t="shared" si="15"/>
        <v>8240.0500000000011</v>
      </c>
      <c r="F102" s="29"/>
      <c r="G102" s="51">
        <v>13229</v>
      </c>
      <c r="H102" s="59">
        <v>12677</v>
      </c>
      <c r="I102" s="51">
        <v>3817</v>
      </c>
      <c r="J102" s="59">
        <v>6940</v>
      </c>
      <c r="K102" s="49">
        <v>0</v>
      </c>
      <c r="L102" s="29"/>
      <c r="M102" s="62">
        <f t="shared" si="9"/>
        <v>12677</v>
      </c>
      <c r="N102" s="58">
        <f t="shared" si="10"/>
        <v>4511</v>
      </c>
      <c r="O102" s="46">
        <f>SUM(M102*'Factors &amp; Percentages'!$E$6+N102*'Factors &amp; Percentages'!$E$7)</f>
        <v>1286.1021781032318</v>
      </c>
      <c r="P102" s="65">
        <v>0.33</v>
      </c>
      <c r="Q102" s="46">
        <f>P102*'Factors &amp; Percentages'!$E$10</f>
        <v>3618.6400110856853</v>
      </c>
      <c r="R102" s="69">
        <v>1742</v>
      </c>
      <c r="S102" s="46">
        <f>R102*'Factors &amp; Percentages'!$E$13</f>
        <v>3093.2354708793837</v>
      </c>
      <c r="T102" s="63">
        <v>8</v>
      </c>
      <c r="U102" s="64">
        <v>27</v>
      </c>
      <c r="V102" s="63">
        <v>11367</v>
      </c>
      <c r="W102" s="46">
        <f>T102*'Factors &amp; Percentages'!$E$16+U102*'Factors &amp; Percentages'!$E$17+V102*'Factors &amp; Percentages'!$E$18</f>
        <v>3371.4069648928862</v>
      </c>
      <c r="X102" s="114"/>
      <c r="Y102" s="58">
        <f t="shared" si="11"/>
        <v>11369.384624961187</v>
      </c>
      <c r="Z102" s="71">
        <f t="shared" si="12"/>
        <v>8240.0500000000011</v>
      </c>
      <c r="AA102" s="51">
        <f>IF($AE102&gt;$Z102,$AE102*(1+'Factors &amp; Percentages'!$B$3),IF($Y102&gt;$Z102,$Z102,IF($Y102&gt;$AE102,$Y102,$AE102*(1+'Factors &amp; Percentages'!$B$3))))</f>
        <v>8240.0500000000011</v>
      </c>
      <c r="AB102" s="59">
        <f t="shared" si="13"/>
        <v>8240.0500000000011</v>
      </c>
      <c r="AC102" s="42"/>
      <c r="AD102" s="43">
        <f t="shared" si="14"/>
        <v>8240.0500000000011</v>
      </c>
      <c r="AE102" s="75">
        <v>5000</v>
      </c>
      <c r="AF102" s="32"/>
      <c r="AG102" s="33"/>
      <c r="AH102" s="33"/>
      <c r="AI102" s="33"/>
      <c r="AJ102" s="5"/>
    </row>
    <row r="103" spans="1:36" s="89" customFormat="1" x14ac:dyDescent="0.3">
      <c r="A103" s="90" t="s">
        <v>70</v>
      </c>
      <c r="B103" s="78" t="s">
        <v>8</v>
      </c>
      <c r="C103" s="78" t="s">
        <v>59</v>
      </c>
      <c r="D103" s="79"/>
      <c r="E103" s="80">
        <f t="shared" si="15"/>
        <v>47272.05</v>
      </c>
      <c r="F103" s="80"/>
      <c r="G103" s="80">
        <f>80725-11300</f>
        <v>69425</v>
      </c>
      <c r="H103" s="80">
        <v>73721</v>
      </c>
      <c r="I103" s="80">
        <v>42142</v>
      </c>
      <c r="J103" s="80">
        <v>9014</v>
      </c>
      <c r="K103" s="80">
        <v>2036</v>
      </c>
      <c r="L103" s="80"/>
      <c r="M103" s="81">
        <f t="shared" si="9"/>
        <v>73924.600000000006</v>
      </c>
      <c r="N103" s="81">
        <f t="shared" si="10"/>
        <v>43043.4</v>
      </c>
      <c r="O103" s="81">
        <f>SUM(M103*'Factors &amp; Percentages'!$E$6+N103*'Factors &amp; Percentages'!$E$7)</f>
        <v>8479.7951674443684</v>
      </c>
      <c r="P103" s="82">
        <v>0.5</v>
      </c>
      <c r="Q103" s="81">
        <f>P103*'Factors &amp; Percentages'!$E$10</f>
        <v>5482.7878955843717</v>
      </c>
      <c r="R103" s="83">
        <v>7277</v>
      </c>
      <c r="S103" s="81">
        <f>R103*'Factors &amp; Percentages'!$E$13</f>
        <v>12921.627165091431</v>
      </c>
      <c r="T103" s="84">
        <v>45</v>
      </c>
      <c r="U103" s="84">
        <v>121</v>
      </c>
      <c r="V103" s="84">
        <v>3199</v>
      </c>
      <c r="W103" s="81">
        <f>T103*'Factors &amp; Percentages'!$E$16+U103*'Factors &amp; Percentages'!$E$17+V103*'Factors &amp; Percentages'!$E$18</f>
        <v>7878.945571844084</v>
      </c>
      <c r="X103" s="113"/>
      <c r="Y103" s="81">
        <f t="shared" si="11"/>
        <v>34763.155799964254</v>
      </c>
      <c r="Z103" s="85">
        <f t="shared" si="12"/>
        <v>34763.155799964254</v>
      </c>
      <c r="AA103" s="80">
        <f>IF($AE103&gt;$Z103,$AE103*(1+'Factors &amp; Percentages'!$B$3),IF($Y103&gt;$Z103,$Z103,IF($Y103&gt;$AE103,$Y103,$AE103*(1+'Factors &amp; Percentages'!$B$3))))</f>
        <v>47272.05</v>
      </c>
      <c r="AB103" s="80">
        <f t="shared" si="13"/>
        <v>47272.05</v>
      </c>
      <c r="AC103" s="85"/>
      <c r="AD103" s="80">
        <f t="shared" si="14"/>
        <v>47272.05</v>
      </c>
      <c r="AE103" s="86">
        <v>45021</v>
      </c>
      <c r="AF103" s="87"/>
      <c r="AG103" s="88"/>
      <c r="AH103" s="88"/>
      <c r="AI103" s="88"/>
      <c r="AJ103" s="5"/>
    </row>
    <row r="104" spans="1:36" x14ac:dyDescent="0.3">
      <c r="A104" s="91" t="s">
        <v>207</v>
      </c>
      <c r="B104" s="76" t="s">
        <v>43</v>
      </c>
      <c r="C104" s="76" t="s">
        <v>201</v>
      </c>
      <c r="D104" s="31"/>
      <c r="E104" s="43">
        <f t="shared" si="15"/>
        <v>20303.277583550655</v>
      </c>
      <c r="F104" s="29"/>
      <c r="G104" s="51">
        <f>52422-1642</f>
        <v>50780</v>
      </c>
      <c r="H104" s="59">
        <v>37330</v>
      </c>
      <c r="I104" s="51">
        <v>63224</v>
      </c>
      <c r="J104" s="59">
        <v>29881</v>
      </c>
      <c r="K104" s="49">
        <v>9350</v>
      </c>
      <c r="L104" s="29"/>
      <c r="M104" s="62">
        <f t="shared" si="9"/>
        <v>38265</v>
      </c>
      <c r="N104" s="58">
        <f t="shared" si="10"/>
        <v>66212.100000000006</v>
      </c>
      <c r="O104" s="46">
        <f>SUM(M104*'Factors &amp; Percentages'!$E$6+N104*'Factors &amp; Percentages'!$E$7)</f>
        <v>6961.5836010085732</v>
      </c>
      <c r="P104" s="65">
        <v>0.5</v>
      </c>
      <c r="Q104" s="46">
        <f>P104*'Factors &amp; Percentages'!$E$10</f>
        <v>5482.7878955843717</v>
      </c>
      <c r="R104" s="69">
        <v>70</v>
      </c>
      <c r="S104" s="46">
        <f>R104*'Factors &amp; Percentages'!$E$13</f>
        <v>124.29763660250106</v>
      </c>
      <c r="T104" s="63">
        <v>33</v>
      </c>
      <c r="U104" s="64">
        <v>118</v>
      </c>
      <c r="V104" s="63">
        <v>10603</v>
      </c>
      <c r="W104" s="46">
        <f>T104*'Factors &amp; Percentages'!$E$16+U104*'Factors &amp; Percentages'!$E$17+V104*'Factors &amp; Percentages'!$E$18</f>
        <v>7734.6084503552083</v>
      </c>
      <c r="X104" s="114"/>
      <c r="Y104" s="58">
        <f t="shared" si="11"/>
        <v>20303.277583550655</v>
      </c>
      <c r="Z104" s="71">
        <f t="shared" si="12"/>
        <v>20303.277583550655</v>
      </c>
      <c r="AA104" s="51">
        <f>IF($AE104&gt;$Z104,$AE104*(1+'Factors &amp; Percentages'!$B$3),IF($Y104&gt;$Z104,$Z104,IF($Y104&gt;$AE104,$Y104,$AE104*(1+'Factors &amp; Percentages'!$B$3))))</f>
        <v>20303.277583550655</v>
      </c>
      <c r="AB104" s="59">
        <f t="shared" si="13"/>
        <v>20303.277583550655</v>
      </c>
      <c r="AC104" s="42"/>
      <c r="AD104" s="43">
        <f t="shared" si="14"/>
        <v>20303.277583550655</v>
      </c>
      <c r="AE104" s="75">
        <v>10320</v>
      </c>
      <c r="AF104" s="32"/>
      <c r="AG104" s="33"/>
      <c r="AH104" s="33"/>
      <c r="AI104" s="33"/>
      <c r="AJ104" s="5"/>
    </row>
    <row r="105" spans="1:36" s="89" customFormat="1" x14ac:dyDescent="0.3">
      <c r="A105" s="90" t="s">
        <v>50</v>
      </c>
      <c r="B105" s="78" t="s">
        <v>43</v>
      </c>
      <c r="C105" s="78" t="s">
        <v>42</v>
      </c>
      <c r="D105" s="79"/>
      <c r="E105" s="80">
        <f t="shared" si="15"/>
        <v>25384.633782232639</v>
      </c>
      <c r="F105" s="80"/>
      <c r="G105" s="80">
        <f>19821-995+13966-631</f>
        <v>32161</v>
      </c>
      <c r="H105" s="80">
        <v>41613</v>
      </c>
      <c r="I105" s="80">
        <v>64665</v>
      </c>
      <c r="J105" s="80">
        <v>13003</v>
      </c>
      <c r="K105" s="80">
        <v>675</v>
      </c>
      <c r="L105" s="80"/>
      <c r="M105" s="81">
        <f t="shared" si="9"/>
        <v>41680.5</v>
      </c>
      <c r="N105" s="81">
        <f t="shared" si="10"/>
        <v>65965.3</v>
      </c>
      <c r="O105" s="81">
        <f>SUM(M105*'Factors &amp; Percentages'!$E$6+N105*'Factors &amp; Percentages'!$E$7)</f>
        <v>7222.4797791002848</v>
      </c>
      <c r="P105" s="82">
        <v>0.66</v>
      </c>
      <c r="Q105" s="81">
        <f>P105*'Factors &amp; Percentages'!$E$10</f>
        <v>7237.2800221713705</v>
      </c>
      <c r="R105" s="83">
        <v>1505</v>
      </c>
      <c r="S105" s="81">
        <f>R105*'Factors &amp; Percentages'!$E$13</f>
        <v>2672.3991869537726</v>
      </c>
      <c r="T105" s="84">
        <v>39</v>
      </c>
      <c r="U105" s="84">
        <v>101</v>
      </c>
      <c r="V105" s="84">
        <v>11386</v>
      </c>
      <c r="W105" s="81">
        <f>T105*'Factors &amp; Percentages'!$E$16+U105*'Factors &amp; Percentages'!$E$17+V105*'Factors &amp; Percentages'!$E$18</f>
        <v>8252.4747940072102</v>
      </c>
      <c r="X105" s="113"/>
      <c r="Y105" s="81">
        <f t="shared" si="11"/>
        <v>25384.633782232639</v>
      </c>
      <c r="Z105" s="85">
        <f t="shared" si="12"/>
        <v>25384.633782232639</v>
      </c>
      <c r="AA105" s="80">
        <f>IF($AE105&gt;$Z105,$AE105*(1+'Factors &amp; Percentages'!$B$3),IF($Y105&gt;$Z105,$Z105,IF($Y105&gt;$AE105,$Y105,$AE105*(1+'Factors &amp; Percentages'!$B$3))))</f>
        <v>25384.633782232639</v>
      </c>
      <c r="AB105" s="80">
        <f t="shared" si="13"/>
        <v>25384.633782232639</v>
      </c>
      <c r="AC105" s="85"/>
      <c r="AD105" s="80">
        <f t="shared" si="14"/>
        <v>25384.633782232639</v>
      </c>
      <c r="AE105" s="86">
        <v>20905</v>
      </c>
      <c r="AF105" s="87"/>
      <c r="AG105" s="88"/>
      <c r="AH105" s="88"/>
      <c r="AI105" s="88"/>
      <c r="AJ105" s="5"/>
    </row>
    <row r="106" spans="1:36" x14ac:dyDescent="0.3">
      <c r="A106" s="91" t="s">
        <v>51</v>
      </c>
      <c r="B106" s="76" t="s">
        <v>43</v>
      </c>
      <c r="C106" s="76" t="s">
        <v>42</v>
      </c>
      <c r="D106" s="31"/>
      <c r="E106" s="43">
        <f t="shared" si="15"/>
        <v>23310</v>
      </c>
      <c r="F106" s="29"/>
      <c r="G106" s="51">
        <v>34153</v>
      </c>
      <c r="H106" s="59">
        <v>31427</v>
      </c>
      <c r="I106" s="51">
        <v>22107</v>
      </c>
      <c r="J106" s="59">
        <v>35176</v>
      </c>
      <c r="K106" s="49">
        <v>27373</v>
      </c>
      <c r="L106" s="29"/>
      <c r="M106" s="62">
        <f t="shared" si="9"/>
        <v>34164.300000000003</v>
      </c>
      <c r="N106" s="58">
        <f t="shared" si="10"/>
        <v>25624.6</v>
      </c>
      <c r="O106" s="46">
        <f>SUM(M106*'Factors &amp; Percentages'!$E$6+N106*'Factors &amp; Percentages'!$E$7)</f>
        <v>4254.5606780078442</v>
      </c>
      <c r="P106" s="65">
        <v>0.85</v>
      </c>
      <c r="Q106" s="46">
        <f>P106*'Factors &amp; Percentages'!$E$10</f>
        <v>9320.7394224934324</v>
      </c>
      <c r="R106" s="69">
        <v>641</v>
      </c>
      <c r="S106" s="46">
        <f>R106*'Factors &amp; Percentages'!$E$13</f>
        <v>1138.2112151743311</v>
      </c>
      <c r="T106" s="63">
        <v>35</v>
      </c>
      <c r="U106" s="64">
        <v>74</v>
      </c>
      <c r="V106" s="63">
        <v>12521</v>
      </c>
      <c r="W106" s="46">
        <f>T106*'Factors &amp; Percentages'!$E$16+U106*'Factors &amp; Percentages'!$E$17+V106*'Factors &amp; Percentages'!$E$18</f>
        <v>7506.7633231523305</v>
      </c>
      <c r="X106" s="114"/>
      <c r="Y106" s="58">
        <f t="shared" si="11"/>
        <v>22220.274638827941</v>
      </c>
      <c r="Z106" s="71">
        <f t="shared" si="12"/>
        <v>20427.55</v>
      </c>
      <c r="AA106" s="51">
        <f>IF($AE106&gt;$Z106,$AE106*(1+'Factors &amp; Percentages'!$B$3),IF($Y106&gt;$Z106,$Z106,IF($Y106&gt;$AE106,$Y106,$AE106*(1+'Factors &amp; Percentages'!$B$3))))</f>
        <v>23310</v>
      </c>
      <c r="AB106" s="59">
        <f t="shared" si="13"/>
        <v>23310</v>
      </c>
      <c r="AC106" s="42"/>
      <c r="AD106" s="43">
        <f t="shared" si="14"/>
        <v>23310</v>
      </c>
      <c r="AE106" s="75">
        <v>22200</v>
      </c>
      <c r="AF106" s="32"/>
      <c r="AG106" s="33"/>
      <c r="AH106" s="33"/>
      <c r="AI106" s="33"/>
      <c r="AJ106" s="5"/>
    </row>
    <row r="107" spans="1:36" s="89" customFormat="1" x14ac:dyDescent="0.3">
      <c r="A107" s="90" t="s">
        <v>119</v>
      </c>
      <c r="B107" s="78" t="s">
        <v>43</v>
      </c>
      <c r="C107" s="78" t="s">
        <v>111</v>
      </c>
      <c r="D107" s="79"/>
      <c r="E107" s="80">
        <f t="shared" si="15"/>
        <v>25610.283454810258</v>
      </c>
      <c r="F107" s="80"/>
      <c r="G107" s="80">
        <f>46560-1000-10572</f>
        <v>34988</v>
      </c>
      <c r="H107" s="80">
        <v>29768</v>
      </c>
      <c r="I107" s="80">
        <v>32917</v>
      </c>
      <c r="J107" s="80">
        <v>13779</v>
      </c>
      <c r="K107" s="80">
        <v>0</v>
      </c>
      <c r="L107" s="80"/>
      <c r="M107" s="81">
        <f t="shared" si="9"/>
        <v>29768</v>
      </c>
      <c r="N107" s="81">
        <f t="shared" si="10"/>
        <v>34294.9</v>
      </c>
      <c r="O107" s="81">
        <f>SUM(M107*'Factors &amp; Percentages'!$E$6+N107*'Factors &amp; Percentages'!$E$7)</f>
        <v>4407.7997274893651</v>
      </c>
      <c r="P107" s="82">
        <v>1</v>
      </c>
      <c r="Q107" s="81">
        <f>P107*'Factors &amp; Percentages'!$E$10</f>
        <v>10965.575791168743</v>
      </c>
      <c r="R107" s="83">
        <v>1843</v>
      </c>
      <c r="S107" s="81">
        <f>R107*'Factors &amp; Percentages'!$E$13</f>
        <v>3272.5792036915636</v>
      </c>
      <c r="T107" s="84">
        <v>30</v>
      </c>
      <c r="U107" s="84">
        <v>76</v>
      </c>
      <c r="V107" s="84">
        <v>12488</v>
      </c>
      <c r="W107" s="81">
        <f>T107*'Factors &amp; Percentages'!$E$16+U107*'Factors &amp; Percentages'!$E$17+V107*'Factors &amp; Percentages'!$E$18</f>
        <v>6964.328732460589</v>
      </c>
      <c r="X107" s="113"/>
      <c r="Y107" s="81">
        <f t="shared" si="11"/>
        <v>25610.283454810258</v>
      </c>
      <c r="Z107" s="85">
        <f t="shared" si="12"/>
        <v>25610.283454810258</v>
      </c>
      <c r="AA107" s="80">
        <f>IF($AE107&gt;$Z107,$AE107*(1+'Factors &amp; Percentages'!$B$3),IF($Y107&gt;$Z107,$Z107,IF($Y107&gt;$AE107,$Y107,$AE107*(1+'Factors &amp; Percentages'!$B$3))))</f>
        <v>25610.283454810258</v>
      </c>
      <c r="AB107" s="80">
        <f t="shared" si="13"/>
        <v>25610.283454810258</v>
      </c>
      <c r="AC107" s="85"/>
      <c r="AD107" s="80">
        <f t="shared" si="14"/>
        <v>25610.283454810258</v>
      </c>
      <c r="AE107" s="86">
        <v>10000</v>
      </c>
      <c r="AF107" s="87"/>
      <c r="AG107" s="88"/>
      <c r="AH107" s="88"/>
      <c r="AI107" s="88"/>
      <c r="AJ107" s="5"/>
    </row>
    <row r="108" spans="1:36" x14ac:dyDescent="0.3">
      <c r="A108" s="91" t="s">
        <v>127</v>
      </c>
      <c r="B108" s="76" t="s">
        <v>43</v>
      </c>
      <c r="C108" s="76" t="s">
        <v>123</v>
      </c>
      <c r="D108" s="31"/>
      <c r="E108" s="43">
        <f t="shared" si="15"/>
        <v>27825</v>
      </c>
      <c r="F108" s="29"/>
      <c r="G108" s="51">
        <f>45419-10572</f>
        <v>34847</v>
      </c>
      <c r="H108" s="59">
        <v>43643</v>
      </c>
      <c r="I108" s="51">
        <v>22920</v>
      </c>
      <c r="J108" s="59">
        <v>-4212</v>
      </c>
      <c r="K108" s="49">
        <v>3264</v>
      </c>
      <c r="L108" s="29"/>
      <c r="M108" s="62">
        <f t="shared" si="9"/>
        <v>43969.4</v>
      </c>
      <c r="N108" s="58">
        <f t="shared" si="10"/>
        <v>22498.799999999999</v>
      </c>
      <c r="O108" s="46">
        <f>SUM(M108*'Factors &amp; Percentages'!$E$6+N108*'Factors &amp; Percentages'!$E$7)</f>
        <v>4861.9974732039973</v>
      </c>
      <c r="P108" s="65">
        <v>0.5</v>
      </c>
      <c r="Q108" s="46">
        <f>P108*'Factors &amp; Percentages'!$E$10</f>
        <v>5482.7878955843717</v>
      </c>
      <c r="R108" s="69">
        <v>4204</v>
      </c>
      <c r="S108" s="46">
        <f>R108*'Factors &amp; Percentages'!$E$13</f>
        <v>7464.9609182416352</v>
      </c>
      <c r="T108" s="63">
        <v>46</v>
      </c>
      <c r="U108" s="64">
        <v>78</v>
      </c>
      <c r="V108" s="63">
        <v>8223</v>
      </c>
      <c r="W108" s="46">
        <f>T108*'Factors &amp; Percentages'!$E$16+U108*'Factors &amp; Percentages'!$E$17+V108*'Factors &amp; Percentages'!$E$18</f>
        <v>8093.046494059925</v>
      </c>
      <c r="X108" s="114"/>
      <c r="Y108" s="58">
        <f t="shared" si="11"/>
        <v>25902.792781089927</v>
      </c>
      <c r="Z108" s="71">
        <f t="shared" si="12"/>
        <v>25902.792781089927</v>
      </c>
      <c r="AA108" s="51">
        <f>IF($AE108&gt;$Z108,$AE108*(1+'Factors &amp; Percentages'!$B$3),IF($Y108&gt;$Z108,$Z108,IF($Y108&gt;$AE108,$Y108,$AE108*(1+'Factors &amp; Percentages'!$B$3))))</f>
        <v>27825</v>
      </c>
      <c r="AB108" s="59">
        <f t="shared" si="13"/>
        <v>27825</v>
      </c>
      <c r="AC108" s="42"/>
      <c r="AD108" s="43">
        <f t="shared" si="14"/>
        <v>27825</v>
      </c>
      <c r="AE108" s="75">
        <v>26500</v>
      </c>
      <c r="AF108" s="32"/>
      <c r="AG108" s="33"/>
      <c r="AH108" s="33"/>
      <c r="AI108" s="33"/>
      <c r="AJ108" s="5"/>
    </row>
    <row r="109" spans="1:36" s="89" customFormat="1" x14ac:dyDescent="0.3">
      <c r="A109" s="90" t="s">
        <v>128</v>
      </c>
      <c r="B109" s="78" t="s">
        <v>43</v>
      </c>
      <c r="C109" s="78" t="s">
        <v>123</v>
      </c>
      <c r="D109" s="79"/>
      <c r="E109" s="80">
        <f t="shared" si="15"/>
        <v>33107.478031010774</v>
      </c>
      <c r="F109" s="80"/>
      <c r="G109" s="80">
        <f>73093-10572</f>
        <v>62521</v>
      </c>
      <c r="H109" s="80">
        <v>72411</v>
      </c>
      <c r="I109" s="80">
        <v>29277</v>
      </c>
      <c r="J109" s="80">
        <v>13338</v>
      </c>
      <c r="K109" s="80">
        <v>19285</v>
      </c>
      <c r="L109" s="80"/>
      <c r="M109" s="81">
        <f t="shared" si="9"/>
        <v>74339.5</v>
      </c>
      <c r="N109" s="81">
        <f t="shared" si="10"/>
        <v>30610.799999999999</v>
      </c>
      <c r="O109" s="81">
        <f>SUM(M109*'Factors &amp; Percentages'!$E$6+N109*'Factors &amp; Percentages'!$E$7)</f>
        <v>7785.3021931431922</v>
      </c>
      <c r="P109" s="82">
        <v>1</v>
      </c>
      <c r="Q109" s="81">
        <f>P109*'Factors &amp; Percentages'!$E$10</f>
        <v>10965.575791168743</v>
      </c>
      <c r="R109" s="83">
        <v>3687</v>
      </c>
      <c r="S109" s="81">
        <f>R109*'Factors &amp; Percentages'!$E$13</f>
        <v>6546.9340879060201</v>
      </c>
      <c r="T109" s="84">
        <v>43</v>
      </c>
      <c r="U109" s="84">
        <v>74</v>
      </c>
      <c r="V109" s="84">
        <v>8984</v>
      </c>
      <c r="W109" s="81">
        <f>T109*'Factors &amp; Percentages'!$E$16+U109*'Factors &amp; Percentages'!$E$17+V109*'Factors &amp; Percentages'!$E$18</f>
        <v>7809.6659587928216</v>
      </c>
      <c r="X109" s="113"/>
      <c r="Y109" s="81">
        <f t="shared" si="11"/>
        <v>33107.478031010774</v>
      </c>
      <c r="Z109" s="85">
        <f t="shared" si="12"/>
        <v>33107.478031010774</v>
      </c>
      <c r="AA109" s="80">
        <f>IF($AE109&gt;$Z109,$AE109*(1+'Factors &amp; Percentages'!$B$3),IF($Y109&gt;$Z109,$Z109,IF($Y109&gt;$AE109,$Y109,$AE109*(1+'Factors &amp; Percentages'!$B$3))))</f>
        <v>33107.478031010774</v>
      </c>
      <c r="AB109" s="80">
        <f t="shared" si="13"/>
        <v>33107.478031010774</v>
      </c>
      <c r="AC109" s="85"/>
      <c r="AD109" s="80">
        <f t="shared" si="14"/>
        <v>33107.478031010774</v>
      </c>
      <c r="AE109" s="86">
        <v>30000</v>
      </c>
      <c r="AF109" s="87"/>
      <c r="AG109" s="88"/>
      <c r="AH109" s="88"/>
      <c r="AI109" s="88"/>
      <c r="AJ109" s="5"/>
    </row>
    <row r="110" spans="1:36" x14ac:dyDescent="0.3">
      <c r="A110" s="91" t="s">
        <v>103</v>
      </c>
      <c r="B110" s="76" t="s">
        <v>43</v>
      </c>
      <c r="C110" s="76" t="s">
        <v>99</v>
      </c>
      <c r="D110" s="31"/>
      <c r="E110" s="43">
        <f t="shared" si="15"/>
        <v>24198.3</v>
      </c>
      <c r="F110" s="29"/>
      <c r="G110" s="51">
        <v>47728</v>
      </c>
      <c r="H110" s="59">
        <v>49751</v>
      </c>
      <c r="I110" s="51">
        <v>8789</v>
      </c>
      <c r="J110" s="59">
        <v>1275</v>
      </c>
      <c r="K110" s="49">
        <v>10805</v>
      </c>
      <c r="L110" s="29"/>
      <c r="M110" s="62">
        <f t="shared" si="9"/>
        <v>50831.5</v>
      </c>
      <c r="N110" s="58">
        <f t="shared" si="10"/>
        <v>8916.5</v>
      </c>
      <c r="O110" s="46">
        <f>SUM(M110*'Factors &amp; Percentages'!$E$6+N110*'Factors &amp; Percentages'!$E$7)</f>
        <v>4619.9408452262487</v>
      </c>
      <c r="P110" s="70">
        <v>0.515625</v>
      </c>
      <c r="Q110" s="46">
        <f>P110*'Factors &amp; Percentages'!$E$10</f>
        <v>5654.125017321383</v>
      </c>
      <c r="R110" s="69">
        <v>183</v>
      </c>
      <c r="S110" s="46">
        <f>R110*'Factors &amp; Percentages'!$E$13</f>
        <v>324.94953568939565</v>
      </c>
      <c r="T110" s="63">
        <v>46</v>
      </c>
      <c r="U110" s="64">
        <v>84</v>
      </c>
      <c r="V110" s="63">
        <v>6828</v>
      </c>
      <c r="W110" s="46">
        <f>T110*'Factors &amp; Percentages'!$E$16+U110*'Factors &amp; Percentages'!$E$17+V110*'Factors &amp; Percentages'!$E$18</f>
        <v>7958.8284765029557</v>
      </c>
      <c r="X110" s="114"/>
      <c r="Y110" s="58">
        <f t="shared" si="11"/>
        <v>18557.843874739981</v>
      </c>
      <c r="Z110" s="71">
        <f t="shared" si="12"/>
        <v>18557.843874739981</v>
      </c>
      <c r="AA110" s="51">
        <f>IF($AE110&gt;$Z110,$AE110*(1+'Factors &amp; Percentages'!$B$3),IF($Y110&gt;$Z110,$Z110,IF($Y110&gt;$AE110,$Y110,$AE110*(1+'Factors &amp; Percentages'!$B$3))))</f>
        <v>24198.3</v>
      </c>
      <c r="AB110" s="59">
        <f t="shared" si="13"/>
        <v>24198.3</v>
      </c>
      <c r="AC110" s="42"/>
      <c r="AD110" s="43">
        <f t="shared" si="14"/>
        <v>24198.3</v>
      </c>
      <c r="AE110" s="75">
        <v>23046</v>
      </c>
      <c r="AF110" s="32"/>
      <c r="AG110" s="33"/>
      <c r="AH110" s="33"/>
      <c r="AI110" s="33"/>
      <c r="AJ110" s="5"/>
    </row>
    <row r="111" spans="1:36" s="89" customFormat="1" x14ac:dyDescent="0.3">
      <c r="A111" s="90" t="s">
        <v>154</v>
      </c>
      <c r="B111" s="78" t="s">
        <v>43</v>
      </c>
      <c r="C111" s="78" t="s">
        <v>145</v>
      </c>
      <c r="D111" s="79"/>
      <c r="E111" s="80">
        <f t="shared" si="15"/>
        <v>15529.15</v>
      </c>
      <c r="F111" s="80"/>
      <c r="G111" s="80">
        <v>15396</v>
      </c>
      <c r="H111" s="80">
        <v>23891</v>
      </c>
      <c r="I111" s="80">
        <v>15382</v>
      </c>
      <c r="J111" s="80">
        <v>8956</v>
      </c>
      <c r="K111" s="80">
        <v>0</v>
      </c>
      <c r="L111" s="80"/>
      <c r="M111" s="81">
        <f t="shared" si="9"/>
        <v>23891</v>
      </c>
      <c r="N111" s="81">
        <f t="shared" si="10"/>
        <v>16277.6</v>
      </c>
      <c r="O111" s="81">
        <f>SUM(M111*'Factors &amp; Percentages'!$E$6+N111*'Factors &amp; Percentages'!$E$7)</f>
        <v>2879.0844945448221</v>
      </c>
      <c r="P111" s="82">
        <v>1</v>
      </c>
      <c r="Q111" s="81">
        <f>P111*'Factors &amp; Percentages'!$E$10</f>
        <v>10965.575791168743</v>
      </c>
      <c r="R111" s="83">
        <v>807</v>
      </c>
      <c r="S111" s="81">
        <f>R111*'Factors &amp; Percentages'!$E$13</f>
        <v>1432.9741819745479</v>
      </c>
      <c r="T111" s="84">
        <v>18</v>
      </c>
      <c r="U111" s="84">
        <v>48</v>
      </c>
      <c r="V111" s="84">
        <v>8420</v>
      </c>
      <c r="W111" s="81">
        <f>T111*'Factors &amp; Percentages'!$E$16+U111*'Factors &amp; Percentages'!$E$17+V111*'Factors &amp; Percentages'!$E$18</f>
        <v>4382.4165984826905</v>
      </c>
      <c r="X111" s="113"/>
      <c r="Y111" s="81">
        <f t="shared" si="11"/>
        <v>19660.051066170803</v>
      </c>
      <c r="Z111" s="85">
        <f t="shared" si="12"/>
        <v>15529.15</v>
      </c>
      <c r="AA111" s="80">
        <f>IF($AE111&gt;$Z111,$AE111*(1+'Factors &amp; Percentages'!$B$3),IF($Y111&gt;$Z111,$Z111,IF($Y111&gt;$AE111,$Y111,$AE111*(1+'Factors &amp; Percentages'!$B$3))))</f>
        <v>15529.15</v>
      </c>
      <c r="AB111" s="80">
        <f t="shared" si="13"/>
        <v>15529.15</v>
      </c>
      <c r="AC111" s="85"/>
      <c r="AD111" s="80">
        <f t="shared" si="14"/>
        <v>15529.15</v>
      </c>
      <c r="AE111" s="86">
        <v>6000</v>
      </c>
      <c r="AF111" s="87"/>
      <c r="AG111" s="88"/>
      <c r="AH111" s="88"/>
      <c r="AI111" s="88"/>
      <c r="AJ111" s="5"/>
    </row>
    <row r="112" spans="1:36" x14ac:dyDescent="0.3">
      <c r="A112" s="91" t="s">
        <v>52</v>
      </c>
      <c r="B112" s="76" t="s">
        <v>43</v>
      </c>
      <c r="C112" s="76" t="s">
        <v>42</v>
      </c>
      <c r="D112" s="31"/>
      <c r="E112" s="43">
        <f t="shared" si="15"/>
        <v>49350</v>
      </c>
      <c r="F112" s="29"/>
      <c r="G112" s="51">
        <f>93568-9218</f>
        <v>84350</v>
      </c>
      <c r="H112" s="59">
        <v>104307</v>
      </c>
      <c r="I112" s="51">
        <v>70494</v>
      </c>
      <c r="J112" s="59">
        <v>101208</v>
      </c>
      <c r="K112" s="49">
        <v>10460</v>
      </c>
      <c r="L112" s="29"/>
      <c r="M112" s="62">
        <f t="shared" si="9"/>
        <v>105353</v>
      </c>
      <c r="N112" s="58">
        <f t="shared" si="10"/>
        <v>80614.8</v>
      </c>
      <c r="O112" s="46">
        <f>SUM(M112*'Factors &amp; Percentages'!$E$6+N112*'Factors &amp; Percentages'!$E$7)</f>
        <v>13213.293245033401</v>
      </c>
      <c r="P112" s="65">
        <v>0.85</v>
      </c>
      <c r="Q112" s="46">
        <f>P112*'Factors &amp; Percentages'!$E$10</f>
        <v>9320.7394224934324</v>
      </c>
      <c r="R112" s="69">
        <v>1542</v>
      </c>
      <c r="S112" s="46">
        <f>R112*'Factors &amp; Percentages'!$E$13</f>
        <v>2738.0993663008089</v>
      </c>
      <c r="T112" s="63">
        <v>74</v>
      </c>
      <c r="U112" s="64">
        <v>125</v>
      </c>
      <c r="V112" s="63">
        <v>10305</v>
      </c>
      <c r="W112" s="46">
        <f>T112*'Factors &amp; Percentages'!$E$16+U112*'Factors &amp; Percentages'!$E$17+V112*'Factors &amp; Percentages'!$E$18</f>
        <v>12503.820343625124</v>
      </c>
      <c r="X112" s="114"/>
      <c r="Y112" s="58">
        <f t="shared" si="11"/>
        <v>37775.952377452762</v>
      </c>
      <c r="Z112" s="71">
        <f t="shared" si="12"/>
        <v>37775.952377452762</v>
      </c>
      <c r="AA112" s="51">
        <f>IF($AE112&gt;$Z112,$AE112*(1+'Factors &amp; Percentages'!$B$3),IF($Y112&gt;$Z112,$Z112,IF($Y112&gt;$AE112,$Y112,$AE112*(1+'Factors &amp; Percentages'!$B$3))))</f>
        <v>49350</v>
      </c>
      <c r="AB112" s="59">
        <f t="shared" si="13"/>
        <v>49350</v>
      </c>
      <c r="AC112" s="42"/>
      <c r="AD112" s="43">
        <f t="shared" si="14"/>
        <v>49350</v>
      </c>
      <c r="AE112" s="75">
        <v>47000</v>
      </c>
      <c r="AF112" s="32"/>
      <c r="AG112" s="33"/>
      <c r="AH112" s="33"/>
      <c r="AI112" s="33"/>
      <c r="AJ112" s="5"/>
    </row>
    <row r="113" spans="1:36" s="89" customFormat="1" x14ac:dyDescent="0.3">
      <c r="A113" s="90" t="s">
        <v>178</v>
      </c>
      <c r="B113" s="78" t="s">
        <v>8</v>
      </c>
      <c r="C113" s="78" t="s">
        <v>175</v>
      </c>
      <c r="D113" s="79"/>
      <c r="E113" s="80">
        <f t="shared" si="15"/>
        <v>10838.75</v>
      </c>
      <c r="F113" s="80"/>
      <c r="G113" s="80">
        <f>17946-1800</f>
        <v>16146</v>
      </c>
      <c r="H113" s="80">
        <v>16675</v>
      </c>
      <c r="I113" s="80">
        <v>14824</v>
      </c>
      <c r="J113" s="80">
        <v>12247</v>
      </c>
      <c r="K113" s="80">
        <v>115</v>
      </c>
      <c r="L113" s="80"/>
      <c r="M113" s="81">
        <f t="shared" si="9"/>
        <v>16686.5</v>
      </c>
      <c r="N113" s="81">
        <f t="shared" si="10"/>
        <v>16048.7</v>
      </c>
      <c r="O113" s="81">
        <f>SUM(M113*'Factors &amp; Percentages'!$E$6+N113*'Factors &amp; Percentages'!$E$7)</f>
        <v>2284.8786963388811</v>
      </c>
      <c r="P113" s="82">
        <v>0.5</v>
      </c>
      <c r="Q113" s="81">
        <f>P113*'Factors &amp; Percentages'!$E$10</f>
        <v>5482.7878955843717</v>
      </c>
      <c r="R113" s="83">
        <v>6676</v>
      </c>
      <c r="S113" s="81">
        <f>R113*'Factors &amp; Percentages'!$E$13</f>
        <v>11854.443170832816</v>
      </c>
      <c r="T113" s="84">
        <v>17</v>
      </c>
      <c r="U113" s="84">
        <v>37</v>
      </c>
      <c r="V113" s="84">
        <v>1684</v>
      </c>
      <c r="W113" s="81">
        <f>T113*'Factors &amp; Percentages'!$E$16+U113*'Factors &amp; Percentages'!$E$17+V113*'Factors &amp; Percentages'!$E$18</f>
        <v>2902.6404941654264</v>
      </c>
      <c r="X113" s="113"/>
      <c r="Y113" s="81">
        <f t="shared" si="11"/>
        <v>22524.750256921492</v>
      </c>
      <c r="Z113" s="85">
        <f t="shared" si="12"/>
        <v>10838.75</v>
      </c>
      <c r="AA113" s="80">
        <f>IF($AE113&gt;$Z113,$AE113*(1+'Factors &amp; Percentages'!$B$3),IF($Y113&gt;$Z113,$Z113,IF($Y113&gt;$AE113,$Y113,$AE113*(1+'Factors &amp; Percentages'!$B$3))))</f>
        <v>10838.75</v>
      </c>
      <c r="AB113" s="80">
        <f t="shared" si="13"/>
        <v>10838.75</v>
      </c>
      <c r="AC113" s="85"/>
      <c r="AD113" s="80">
        <f t="shared" si="14"/>
        <v>10838.75</v>
      </c>
      <c r="AE113" s="86">
        <v>7000</v>
      </c>
      <c r="AF113" s="87"/>
      <c r="AG113" s="88"/>
      <c r="AH113" s="88"/>
      <c r="AI113" s="88"/>
      <c r="AJ113" s="5"/>
    </row>
    <row r="114" spans="1:36" x14ac:dyDescent="0.3">
      <c r="A114" s="91" t="s">
        <v>71</v>
      </c>
      <c r="B114" s="76" t="s">
        <v>8</v>
      </c>
      <c r="C114" s="76" t="s">
        <v>59</v>
      </c>
      <c r="D114" s="31"/>
      <c r="E114" s="43">
        <f t="shared" si="15"/>
        <v>35703.200000000004</v>
      </c>
      <c r="F114" s="29"/>
      <c r="G114" s="51">
        <v>48627</v>
      </c>
      <c r="H114" s="59">
        <v>54928</v>
      </c>
      <c r="I114" s="51">
        <v>29634</v>
      </c>
      <c r="J114" s="59">
        <v>13984</v>
      </c>
      <c r="K114" s="49">
        <v>369</v>
      </c>
      <c r="L114" s="29"/>
      <c r="M114" s="62">
        <f t="shared" si="9"/>
        <v>54964.9</v>
      </c>
      <c r="N114" s="58">
        <f t="shared" si="10"/>
        <v>31032.400000000001</v>
      </c>
      <c r="O114" s="46">
        <f>SUM(M114*'Factors &amp; Percentages'!$E$6+N114*'Factors &amp; Percentages'!$E$7)</f>
        <v>6248.0697197252666</v>
      </c>
      <c r="P114" s="65">
        <v>0.4</v>
      </c>
      <c r="Q114" s="46">
        <f>P114*'Factors &amp; Percentages'!$E$10</f>
        <v>4386.2303164674977</v>
      </c>
      <c r="R114" s="69">
        <v>9684</v>
      </c>
      <c r="S114" s="46">
        <f>R114*'Factors &amp; Percentages'!$E$13</f>
        <v>17195.690183694576</v>
      </c>
      <c r="T114" s="63">
        <v>85</v>
      </c>
      <c r="U114" s="64">
        <v>80</v>
      </c>
      <c r="V114" s="63">
        <v>3401</v>
      </c>
      <c r="W114" s="46">
        <f>T114*'Factors &amp; Percentages'!$E$16+U114*'Factors &amp; Percentages'!$E$17+V114*'Factors &amp; Percentages'!$E$18</f>
        <v>11759.132982702289</v>
      </c>
      <c r="X114" s="114"/>
      <c r="Y114" s="58">
        <f t="shared" si="11"/>
        <v>39589.123202589632</v>
      </c>
      <c r="Z114" s="71">
        <f t="shared" si="12"/>
        <v>35703.200000000004</v>
      </c>
      <c r="AA114" s="51">
        <f>IF($AE114&gt;$Z114,$AE114*(1+'Factors &amp; Percentages'!$B$3),IF($Y114&gt;$Z114,$Z114,IF($Y114&gt;$AE114,$Y114,$AE114*(1+'Factors &amp; Percentages'!$B$3))))</f>
        <v>35703.200000000004</v>
      </c>
      <c r="AB114" s="59">
        <f t="shared" si="13"/>
        <v>35703.200000000004</v>
      </c>
      <c r="AC114" s="42"/>
      <c r="AD114" s="43">
        <f t="shared" si="14"/>
        <v>35703.200000000004</v>
      </c>
      <c r="AE114" s="75">
        <v>26000</v>
      </c>
      <c r="AF114" s="32"/>
      <c r="AG114" s="33"/>
      <c r="AH114" s="33"/>
      <c r="AI114" s="33"/>
      <c r="AJ114" s="5"/>
    </row>
    <row r="115" spans="1:36" s="89" customFormat="1" x14ac:dyDescent="0.3">
      <c r="A115" s="90" t="s">
        <v>37</v>
      </c>
      <c r="B115" s="78" t="s">
        <v>8</v>
      </c>
      <c r="C115" s="78" t="s">
        <v>30</v>
      </c>
      <c r="D115" s="79"/>
      <c r="E115" s="80">
        <f t="shared" si="15"/>
        <v>26459.235078108646</v>
      </c>
      <c r="F115" s="80"/>
      <c r="G115" s="80">
        <v>11485</v>
      </c>
      <c r="H115" s="80">
        <v>12227</v>
      </c>
      <c r="I115" s="80">
        <v>40058</v>
      </c>
      <c r="J115" s="80">
        <v>184</v>
      </c>
      <c r="K115" s="80">
        <v>0</v>
      </c>
      <c r="L115" s="80"/>
      <c r="M115" s="81">
        <f t="shared" si="9"/>
        <v>12227</v>
      </c>
      <c r="N115" s="81">
        <f t="shared" si="10"/>
        <v>40076.400000000001</v>
      </c>
      <c r="O115" s="81">
        <f>SUM(M115*'Factors &amp; Percentages'!$E$6+N115*'Factors &amp; Percentages'!$E$7)</f>
        <v>3332.2135321269516</v>
      </c>
      <c r="P115" s="82">
        <v>0.5</v>
      </c>
      <c r="Q115" s="81">
        <f>P115*'Factors &amp; Percentages'!$E$10</f>
        <v>5482.7878955843717</v>
      </c>
      <c r="R115" s="83">
        <v>8275</v>
      </c>
      <c r="S115" s="81">
        <f>R115*'Factors &amp; Percentages'!$E$13</f>
        <v>14693.756326938517</v>
      </c>
      <c r="T115" s="84">
        <v>18</v>
      </c>
      <c r="U115" s="84">
        <v>42</v>
      </c>
      <c r="V115" s="84">
        <v>782</v>
      </c>
      <c r="W115" s="81">
        <f>T115*'Factors &amp; Percentages'!$E$16+U115*'Factors &amp; Percentages'!$E$17+V115*'Factors &amp; Percentages'!$E$18</f>
        <v>2950.4773234588074</v>
      </c>
      <c r="X115" s="113"/>
      <c r="Y115" s="81">
        <f t="shared" si="11"/>
        <v>26459.235078108646</v>
      </c>
      <c r="Z115" s="85">
        <f t="shared" si="12"/>
        <v>26459.235078108646</v>
      </c>
      <c r="AA115" s="80">
        <f>IF($AE115&gt;$Z115,$AE115*(1+'Factors &amp; Percentages'!$B$3),IF($Y115&gt;$Z115,$Z115,IF($Y115&gt;$AE115,$Y115,$AE115*(1+'Factors &amp; Percentages'!$B$3))))</f>
        <v>26459.235078108646</v>
      </c>
      <c r="AB115" s="80">
        <f t="shared" si="13"/>
        <v>26459.235078108646</v>
      </c>
      <c r="AC115" s="85"/>
      <c r="AD115" s="80">
        <f t="shared" si="14"/>
        <v>26459.235078108646</v>
      </c>
      <c r="AE115" s="86">
        <v>7500</v>
      </c>
      <c r="AF115" s="87"/>
      <c r="AG115" s="88"/>
      <c r="AH115" s="88"/>
      <c r="AI115" s="88"/>
      <c r="AJ115" s="5"/>
    </row>
    <row r="116" spans="1:36" x14ac:dyDescent="0.3">
      <c r="A116" s="91" t="s">
        <v>156</v>
      </c>
      <c r="B116" s="76" t="s">
        <v>43</v>
      </c>
      <c r="C116" s="76" t="s">
        <v>145</v>
      </c>
      <c r="D116" s="31"/>
      <c r="E116" s="43">
        <f t="shared" si="15"/>
        <v>52269</v>
      </c>
      <c r="F116" s="29"/>
      <c r="G116" s="51">
        <f>85874-9289</f>
        <v>76585</v>
      </c>
      <c r="H116" s="59">
        <v>83484</v>
      </c>
      <c r="I116" s="51">
        <v>45607</v>
      </c>
      <c r="J116" s="59">
        <v>417334</v>
      </c>
      <c r="K116" s="49">
        <v>15221</v>
      </c>
      <c r="L116" s="29"/>
      <c r="M116" s="62">
        <f t="shared" si="9"/>
        <v>85006.1</v>
      </c>
      <c r="N116" s="58">
        <f t="shared" si="10"/>
        <v>87340.4</v>
      </c>
      <c r="O116" s="46">
        <f>SUM(M116*'Factors &amp; Percentages'!$E$6+N116*'Factors &amp; Percentages'!$E$7)</f>
        <v>11966.782447088804</v>
      </c>
      <c r="P116" s="65">
        <v>2</v>
      </c>
      <c r="Q116" s="46">
        <f>P116*'Factors &amp; Percentages'!$E$10</f>
        <v>21931.151582337487</v>
      </c>
      <c r="R116" s="69">
        <v>534</v>
      </c>
      <c r="S116" s="46">
        <f>R116*'Factors &amp; Percentages'!$E$13</f>
        <v>948.21339922479376</v>
      </c>
      <c r="T116" s="63">
        <v>35</v>
      </c>
      <c r="U116" s="64">
        <v>118</v>
      </c>
      <c r="V116" s="63">
        <v>22677</v>
      </c>
      <c r="W116" s="46">
        <f>T116*'Factors &amp; Percentages'!$E$16+U116*'Factors &amp; Percentages'!$E$17+V116*'Factors &amp; Percentages'!$E$18</f>
        <v>10057.058092060175</v>
      </c>
      <c r="X116" s="114"/>
      <c r="Y116" s="58">
        <f t="shared" si="11"/>
        <v>44903.205520711257</v>
      </c>
      <c r="Z116" s="71">
        <f t="shared" si="12"/>
        <v>44903.205520711257</v>
      </c>
      <c r="AA116" s="51">
        <f>IF($AE116&gt;$Z116,$AE116*(1+'Factors &amp; Percentages'!$B$3),IF($Y116&gt;$Z116,$Z116,IF($Y116&gt;$AE116,$Y116,$AE116*(1+'Factors &amp; Percentages'!$B$3))))</f>
        <v>52269</v>
      </c>
      <c r="AB116" s="59">
        <f t="shared" si="13"/>
        <v>52269</v>
      </c>
      <c r="AC116" s="42"/>
      <c r="AD116" s="43">
        <f t="shared" si="14"/>
        <v>52269</v>
      </c>
      <c r="AE116" s="75">
        <v>49780</v>
      </c>
      <c r="AF116" s="32"/>
      <c r="AG116" s="33"/>
      <c r="AH116" s="33"/>
      <c r="AI116" s="33"/>
      <c r="AJ116" s="5"/>
    </row>
    <row r="117" spans="1:36" s="89" customFormat="1" x14ac:dyDescent="0.3">
      <c r="A117" s="90" t="s">
        <v>155</v>
      </c>
      <c r="B117" s="78" t="s">
        <v>43</v>
      </c>
      <c r="C117" s="78" t="s">
        <v>145</v>
      </c>
      <c r="D117" s="79"/>
      <c r="E117" s="80">
        <f t="shared" si="15"/>
        <v>9092.6130496962251</v>
      </c>
      <c r="F117" s="80"/>
      <c r="G117" s="80">
        <v>15733</v>
      </c>
      <c r="H117" s="80">
        <v>19679</v>
      </c>
      <c r="I117" s="80">
        <v>3546</v>
      </c>
      <c r="J117" s="80">
        <v>0</v>
      </c>
      <c r="K117" s="80">
        <v>0</v>
      </c>
      <c r="L117" s="80"/>
      <c r="M117" s="81">
        <f t="shared" si="9"/>
        <v>19679</v>
      </c>
      <c r="N117" s="81">
        <f t="shared" si="10"/>
        <v>3546</v>
      </c>
      <c r="O117" s="81">
        <f>SUM(M117*'Factors &amp; Percentages'!$E$6+N117*'Factors &amp; Percentages'!$E$7)</f>
        <v>1794.0790707114681</v>
      </c>
      <c r="P117" s="82">
        <v>0.25</v>
      </c>
      <c r="Q117" s="81">
        <f>P117*'Factors &amp; Percentages'!$E$10</f>
        <v>2741.3939477921858</v>
      </c>
      <c r="R117" s="83">
        <v>904</v>
      </c>
      <c r="S117" s="81">
        <f>R117*'Factors &amp; Percentages'!$E$13</f>
        <v>1605.2151926951565</v>
      </c>
      <c r="T117" s="84">
        <v>16</v>
      </c>
      <c r="U117" s="84">
        <v>24</v>
      </c>
      <c r="V117" s="84">
        <v>3974</v>
      </c>
      <c r="W117" s="81">
        <f>T117*'Factors &amp; Percentages'!$E$16+U117*'Factors &amp; Percentages'!$E$17+V117*'Factors &amp; Percentages'!$E$18</f>
        <v>2951.9248384974144</v>
      </c>
      <c r="X117" s="113"/>
      <c r="Y117" s="81">
        <f t="shared" si="11"/>
        <v>9092.6130496962251</v>
      </c>
      <c r="Z117" s="85">
        <f t="shared" si="12"/>
        <v>9092.6130496962251</v>
      </c>
      <c r="AA117" s="80">
        <f>IF($AE117&gt;$Z117,$AE117*(1+'Factors &amp; Percentages'!$B$3),IF($Y117&gt;$Z117,$Z117,IF($Y117&gt;$AE117,$Y117,$AE117*(1+'Factors &amp; Percentages'!$B$3))))</f>
        <v>9092.6130496962251</v>
      </c>
      <c r="AB117" s="80">
        <f t="shared" si="13"/>
        <v>9092.6130496962251</v>
      </c>
      <c r="AC117" s="85"/>
      <c r="AD117" s="80">
        <f t="shared" si="14"/>
        <v>9092.6130496962251</v>
      </c>
      <c r="AE117" s="86">
        <v>4000</v>
      </c>
      <c r="AF117" s="87"/>
      <c r="AG117" s="88"/>
      <c r="AH117" s="88"/>
      <c r="AI117" s="88"/>
      <c r="AJ117" s="5"/>
    </row>
    <row r="118" spans="1:36" x14ac:dyDescent="0.3">
      <c r="A118" s="91" t="s">
        <v>219</v>
      </c>
      <c r="B118" s="76" t="s">
        <v>75</v>
      </c>
      <c r="C118" s="76" t="s">
        <v>75</v>
      </c>
      <c r="D118" s="31"/>
      <c r="E118" s="43">
        <f t="shared" si="15"/>
        <v>15750</v>
      </c>
      <c r="F118" s="29"/>
      <c r="G118" s="51">
        <f>28693-2292</f>
        <v>26401</v>
      </c>
      <c r="H118" s="59">
        <v>28812</v>
      </c>
      <c r="I118" s="51">
        <v>36403</v>
      </c>
      <c r="J118" s="59">
        <v>937</v>
      </c>
      <c r="K118" s="49">
        <v>919</v>
      </c>
      <c r="L118" s="29"/>
      <c r="M118" s="62">
        <f t="shared" si="9"/>
        <v>28903.9</v>
      </c>
      <c r="N118" s="58">
        <f t="shared" si="10"/>
        <v>36496.699999999997</v>
      </c>
      <c r="O118" s="46">
        <f>SUM(M118*'Factors &amp; Percentages'!$E$6+N118*'Factors &amp; Percentages'!$E$7)</f>
        <v>4467.0563212626002</v>
      </c>
      <c r="P118" s="65">
        <v>0.25</v>
      </c>
      <c r="Q118" s="46">
        <f>P118*'Factors &amp; Percentages'!$E$10</f>
        <v>2741.3939477921858</v>
      </c>
      <c r="R118" s="69">
        <v>926</v>
      </c>
      <c r="S118" s="46">
        <f>R118*'Factors &amp; Percentages'!$E$13</f>
        <v>1644.2801641987996</v>
      </c>
      <c r="T118" s="63">
        <v>23</v>
      </c>
      <c r="U118" s="64">
        <v>39</v>
      </c>
      <c r="V118" s="63">
        <v>1415</v>
      </c>
      <c r="W118" s="46">
        <f>T118*'Factors &amp; Percentages'!$E$16+U118*'Factors &amp; Percentages'!$E$17+V118*'Factors &amp; Percentages'!$E$18</f>
        <v>3578.9993746238661</v>
      </c>
      <c r="X118" s="114"/>
      <c r="Y118" s="58">
        <f t="shared" si="11"/>
        <v>12431.729807877451</v>
      </c>
      <c r="Z118" s="71">
        <f t="shared" si="12"/>
        <v>12431.729807877451</v>
      </c>
      <c r="AA118" s="51">
        <f>IF($AE118&gt;$Z118,$AE118*(1+'Factors &amp; Percentages'!$B$3),IF($Y118&gt;$Z118,$Z118,IF($Y118&gt;$AE118,$Y118,$AE118*(1+'Factors &amp; Percentages'!$B$3))))</f>
        <v>15750</v>
      </c>
      <c r="AB118" s="59">
        <f t="shared" si="13"/>
        <v>15750</v>
      </c>
      <c r="AC118" s="42"/>
      <c r="AD118" s="43">
        <f t="shared" si="14"/>
        <v>15750</v>
      </c>
      <c r="AE118" s="75">
        <v>15000</v>
      </c>
      <c r="AF118" s="32"/>
      <c r="AG118" s="33"/>
      <c r="AH118" s="33"/>
      <c r="AI118" s="33"/>
      <c r="AJ118" s="5"/>
    </row>
    <row r="119" spans="1:36" s="89" customFormat="1" x14ac:dyDescent="0.3">
      <c r="A119" s="90" t="s">
        <v>89</v>
      </c>
      <c r="B119" s="78" t="s">
        <v>75</v>
      </c>
      <c r="C119" s="78" t="s">
        <v>75</v>
      </c>
      <c r="D119" s="79"/>
      <c r="E119" s="80">
        <f t="shared" si="15"/>
        <v>11112.4</v>
      </c>
      <c r="F119" s="80"/>
      <c r="G119" s="80">
        <v>20356</v>
      </c>
      <c r="H119" s="80">
        <v>17096</v>
      </c>
      <c r="I119" s="80">
        <v>15334</v>
      </c>
      <c r="J119" s="80">
        <v>10667</v>
      </c>
      <c r="K119" s="80">
        <v>2500</v>
      </c>
      <c r="L119" s="80"/>
      <c r="M119" s="81">
        <f t="shared" si="9"/>
        <v>17346</v>
      </c>
      <c r="N119" s="81">
        <f t="shared" si="10"/>
        <v>16400.7</v>
      </c>
      <c r="O119" s="81">
        <f>SUM(M119*'Factors &amp; Percentages'!$E$6+N119*'Factors &amp; Percentages'!$E$7)</f>
        <v>2358.6553962257822</v>
      </c>
      <c r="P119" s="82">
        <v>0.33</v>
      </c>
      <c r="Q119" s="81">
        <f>P119*'Factors &amp; Percentages'!$E$10</f>
        <v>3618.6400110856853</v>
      </c>
      <c r="R119" s="83">
        <v>2086</v>
      </c>
      <c r="S119" s="81">
        <f>R119*'Factors &amp; Percentages'!$E$13</f>
        <v>3704.0695707545315</v>
      </c>
      <c r="T119" s="84">
        <v>17</v>
      </c>
      <c r="U119" s="84">
        <v>28</v>
      </c>
      <c r="V119" s="84">
        <v>1502</v>
      </c>
      <c r="W119" s="81">
        <f>T119*'Factors &amp; Percentages'!$E$16+U119*'Factors &amp; Percentages'!$E$17+V119*'Factors &amp; Percentages'!$E$18</f>
        <v>2709.6107440174123</v>
      </c>
      <c r="X119" s="113"/>
      <c r="Y119" s="81">
        <f t="shared" si="11"/>
        <v>12390.975722083411</v>
      </c>
      <c r="Z119" s="85">
        <f t="shared" si="12"/>
        <v>11112.4</v>
      </c>
      <c r="AA119" s="80">
        <f>IF($AE119&gt;$Z119,$AE119*(1+'Factors &amp; Percentages'!$B$3),IF($Y119&gt;$Z119,$Z119,IF($Y119&gt;$AE119,$Y119,$AE119*(1+'Factors &amp; Percentages'!$B$3))))</f>
        <v>11112.4</v>
      </c>
      <c r="AB119" s="80">
        <f t="shared" si="13"/>
        <v>11112.4</v>
      </c>
      <c r="AC119" s="85"/>
      <c r="AD119" s="80">
        <f t="shared" si="14"/>
        <v>11112.4</v>
      </c>
      <c r="AE119" s="86">
        <v>9000</v>
      </c>
      <c r="AF119" s="87"/>
      <c r="AG119" s="88"/>
      <c r="AH119" s="88"/>
      <c r="AI119" s="88"/>
      <c r="AJ119" s="5"/>
    </row>
    <row r="120" spans="1:36" x14ac:dyDescent="0.3">
      <c r="A120" s="91" t="s">
        <v>120</v>
      </c>
      <c r="B120" s="76" t="s">
        <v>43</v>
      </c>
      <c r="C120" s="76" t="s">
        <v>111</v>
      </c>
      <c r="D120" s="31"/>
      <c r="E120" s="43">
        <f t="shared" si="15"/>
        <v>21459.385839903687</v>
      </c>
      <c r="F120" s="29"/>
      <c r="G120" s="51">
        <f>69336-20000-17297</f>
        <v>32039</v>
      </c>
      <c r="H120" s="59">
        <v>40914</v>
      </c>
      <c r="I120" s="51">
        <v>56932</v>
      </c>
      <c r="J120" s="59">
        <v>1453</v>
      </c>
      <c r="K120" s="49">
        <v>1023</v>
      </c>
      <c r="L120" s="29"/>
      <c r="M120" s="62">
        <f t="shared" si="9"/>
        <v>41016.300000000003</v>
      </c>
      <c r="N120" s="58">
        <f t="shared" si="10"/>
        <v>57077.3</v>
      </c>
      <c r="O120" s="46">
        <f>SUM(M120*'Factors &amp; Percentages'!$E$6+N120*'Factors &amp; Percentages'!$E$7)</f>
        <v>6648.5330453939678</v>
      </c>
      <c r="P120" s="65">
        <v>0.5</v>
      </c>
      <c r="Q120" s="46">
        <f>P120*'Factors &amp; Percentages'!$E$10</f>
        <v>5482.7878955843717</v>
      </c>
      <c r="R120" s="69">
        <v>2689</v>
      </c>
      <c r="S120" s="46">
        <f>R120*'Factors &amp; Percentages'!$E$13</f>
        <v>4774.8049260589332</v>
      </c>
      <c r="T120" s="63">
        <v>25</v>
      </c>
      <c r="U120" s="64">
        <v>31</v>
      </c>
      <c r="V120" s="63">
        <v>6541</v>
      </c>
      <c r="W120" s="46">
        <f>T120*'Factors &amp; Percentages'!$E$16+U120*'Factors &amp; Percentages'!$E$17+V120*'Factors &amp; Percentages'!$E$18</f>
        <v>4553.2599728664145</v>
      </c>
      <c r="X120" s="114"/>
      <c r="Y120" s="58">
        <f t="shared" si="11"/>
        <v>21459.385839903687</v>
      </c>
      <c r="Z120" s="71">
        <f t="shared" si="12"/>
        <v>21459.385839903687</v>
      </c>
      <c r="AA120" s="51">
        <f>IF($AE120&gt;$Z120,$AE120*(1+'Factors &amp; Percentages'!$B$3),IF($Y120&gt;$Z120,$Z120,IF($Y120&gt;$AE120,$Y120,$AE120*(1+'Factors &amp; Percentages'!$B$3))))</f>
        <v>21459.385839903687</v>
      </c>
      <c r="AB120" s="59">
        <f t="shared" si="13"/>
        <v>21459.385839903687</v>
      </c>
      <c r="AC120" s="42"/>
      <c r="AD120" s="43">
        <f t="shared" si="14"/>
        <v>21459.385839903687</v>
      </c>
      <c r="AE120" s="75">
        <v>18815</v>
      </c>
      <c r="AF120" s="32"/>
      <c r="AG120" s="33"/>
      <c r="AH120" s="33"/>
      <c r="AI120" s="33"/>
      <c r="AJ120" s="5"/>
    </row>
    <row r="121" spans="1:36" s="89" customFormat="1" x14ac:dyDescent="0.3">
      <c r="A121" s="90" t="s">
        <v>170</v>
      </c>
      <c r="B121" s="78" t="s">
        <v>75</v>
      </c>
      <c r="C121" s="78" t="s">
        <v>163</v>
      </c>
      <c r="D121" s="79"/>
      <c r="E121" s="80">
        <f t="shared" si="15"/>
        <v>71705.55</v>
      </c>
      <c r="F121" s="80"/>
      <c r="G121" s="80">
        <f>96219-1500-487</f>
        <v>94232</v>
      </c>
      <c r="H121" s="80">
        <v>88088</v>
      </c>
      <c r="I121" s="80">
        <v>55655</v>
      </c>
      <c r="J121" s="80">
        <v>88805</v>
      </c>
      <c r="K121" s="80">
        <v>2379</v>
      </c>
      <c r="L121" s="80"/>
      <c r="M121" s="81">
        <f t="shared" si="9"/>
        <v>88325.9</v>
      </c>
      <c r="N121" s="81">
        <f t="shared" si="10"/>
        <v>64535.5</v>
      </c>
      <c r="O121" s="81">
        <f>SUM(M121*'Factors &amp; Percentages'!$E$6+N121*'Factors &amp; Percentages'!$E$7)</f>
        <v>10899.164818833131</v>
      </c>
      <c r="P121" s="82">
        <v>0.66</v>
      </c>
      <c r="Q121" s="81">
        <f>P121*'Factors &amp; Percentages'!$E$10</f>
        <v>7237.2800221713705</v>
      </c>
      <c r="R121" s="83">
        <v>6534</v>
      </c>
      <c r="S121" s="81">
        <f>R121*'Factors &amp; Percentages'!$E$13</f>
        <v>11602.296536582027</v>
      </c>
      <c r="T121" s="84">
        <v>25</v>
      </c>
      <c r="U121" s="84">
        <v>196</v>
      </c>
      <c r="V121" s="84">
        <v>5720</v>
      </c>
      <c r="W121" s="81">
        <f>T121*'Factors &amp; Percentages'!$E$16+U121*'Factors &amp; Percentages'!$E$17+V121*'Factors &amp; Percentages'!$E$18</f>
        <v>7371.2752283896598</v>
      </c>
      <c r="X121" s="113"/>
      <c r="Y121" s="81">
        <f t="shared" si="11"/>
        <v>37110.01660597619</v>
      </c>
      <c r="Z121" s="85">
        <f t="shared" si="12"/>
        <v>37110.01660597619</v>
      </c>
      <c r="AA121" s="80">
        <f>IF($AE121&gt;$Z121,$AE121*(1+'Factors &amp; Percentages'!$B$3),IF($Y121&gt;$Z121,$Z121,IF($Y121&gt;$AE121,$Y121,$AE121*(1+'Factors &amp; Percentages'!$B$3))))</f>
        <v>71705.55</v>
      </c>
      <c r="AB121" s="80">
        <f t="shared" si="13"/>
        <v>71705.55</v>
      </c>
      <c r="AC121" s="85"/>
      <c r="AD121" s="80">
        <f t="shared" si="14"/>
        <v>71705.55</v>
      </c>
      <c r="AE121" s="86">
        <v>68291</v>
      </c>
      <c r="AF121" s="87"/>
      <c r="AG121" s="88"/>
      <c r="AH121" s="88"/>
      <c r="AI121" s="88"/>
      <c r="AJ121" s="5"/>
    </row>
    <row r="122" spans="1:36" x14ac:dyDescent="0.3">
      <c r="A122" s="91" t="s">
        <v>90</v>
      </c>
      <c r="B122" s="76" t="s">
        <v>75</v>
      </c>
      <c r="C122" s="76" t="s">
        <v>75</v>
      </c>
      <c r="D122" s="31"/>
      <c r="E122" s="43">
        <f t="shared" si="15"/>
        <v>12767.108126130555</v>
      </c>
      <c r="F122" s="29"/>
      <c r="G122" s="51">
        <v>12151</v>
      </c>
      <c r="H122" s="59">
        <v>15574</v>
      </c>
      <c r="I122" s="51">
        <v>19995</v>
      </c>
      <c r="J122" s="59">
        <v>4955</v>
      </c>
      <c r="K122" s="49">
        <v>0</v>
      </c>
      <c r="L122" s="29"/>
      <c r="M122" s="62">
        <f t="shared" si="9"/>
        <v>15574</v>
      </c>
      <c r="N122" s="58">
        <f t="shared" si="10"/>
        <v>20490.5</v>
      </c>
      <c r="O122" s="46">
        <f>SUM(M122*'Factors &amp; Percentages'!$E$6+N122*'Factors &amp; Percentages'!$E$7)</f>
        <v>2455.2642730762182</v>
      </c>
      <c r="P122" s="65">
        <v>0.16500000000000001</v>
      </c>
      <c r="Q122" s="46">
        <f>P122*'Factors &amp; Percentages'!$E$10</f>
        <v>1809.3200055428426</v>
      </c>
      <c r="R122" s="69">
        <v>2895</v>
      </c>
      <c r="S122" s="46">
        <f>R122*'Factors &amp; Percentages'!$E$13</f>
        <v>5140.5951137748652</v>
      </c>
      <c r="T122" s="63">
        <v>17</v>
      </c>
      <c r="U122" s="64">
        <v>37</v>
      </c>
      <c r="V122" s="63">
        <v>4333</v>
      </c>
      <c r="W122" s="46">
        <f>T122*'Factors &amp; Percentages'!$E$16+U122*'Factors &amp; Percentages'!$E$17+V122*'Factors &amp; Percentages'!$E$18</f>
        <v>3361.9287337366291</v>
      </c>
      <c r="X122" s="114"/>
      <c r="Y122" s="58">
        <f t="shared" si="11"/>
        <v>12767.108126130555</v>
      </c>
      <c r="Z122" s="71">
        <f t="shared" si="12"/>
        <v>12767.108126130555</v>
      </c>
      <c r="AA122" s="51">
        <f>IF($AE122&gt;$Z122,$AE122*(1+'Factors &amp; Percentages'!$B$3),IF($Y122&gt;$Z122,$Z122,IF($Y122&gt;$AE122,$Y122,$AE122*(1+'Factors &amp; Percentages'!$B$3))))</f>
        <v>12767.108126130555</v>
      </c>
      <c r="AB122" s="59">
        <f t="shared" si="13"/>
        <v>12767.108126130555</v>
      </c>
      <c r="AC122" s="42"/>
      <c r="AD122" s="43">
        <f t="shared" si="14"/>
        <v>12767.108126130555</v>
      </c>
      <c r="AE122" s="75">
        <v>9000</v>
      </c>
      <c r="AF122" s="32"/>
      <c r="AG122" s="33"/>
      <c r="AH122" s="33"/>
      <c r="AI122" s="33"/>
      <c r="AJ122" s="5"/>
    </row>
    <row r="123" spans="1:36" s="89" customFormat="1" x14ac:dyDescent="0.3">
      <c r="A123" s="90" t="s">
        <v>171</v>
      </c>
      <c r="B123" s="78" t="s">
        <v>75</v>
      </c>
      <c r="C123" s="78" t="s">
        <v>163</v>
      </c>
      <c r="D123" s="79"/>
      <c r="E123" s="80">
        <f t="shared" si="15"/>
        <v>11917.75</v>
      </c>
      <c r="F123" s="80"/>
      <c r="G123" s="80">
        <v>15591</v>
      </c>
      <c r="H123" s="80">
        <v>18335</v>
      </c>
      <c r="I123" s="80">
        <v>12826</v>
      </c>
      <c r="J123" s="80">
        <v>8557</v>
      </c>
      <c r="K123" s="80">
        <v>11385</v>
      </c>
      <c r="L123" s="80"/>
      <c r="M123" s="81">
        <f t="shared" si="9"/>
        <v>19473.5</v>
      </c>
      <c r="N123" s="81">
        <f t="shared" si="10"/>
        <v>13681.7</v>
      </c>
      <c r="O123" s="81">
        <f>SUM(M123*'Factors &amp; Percentages'!$E$6+N123*'Factors &amp; Percentages'!$E$7)</f>
        <v>2370.9674576734942</v>
      </c>
      <c r="P123" s="82">
        <v>0.33</v>
      </c>
      <c r="Q123" s="81">
        <f>P123*'Factors &amp; Percentages'!$E$10</f>
        <v>3618.6400110856853</v>
      </c>
      <c r="R123" s="83">
        <v>1341</v>
      </c>
      <c r="S123" s="81">
        <f>R123*'Factors &amp; Percentages'!$E$13</f>
        <v>2381.1875811993418</v>
      </c>
      <c r="T123" s="84">
        <v>25</v>
      </c>
      <c r="U123" s="84">
        <v>35</v>
      </c>
      <c r="V123" s="84">
        <v>4457</v>
      </c>
      <c r="W123" s="81">
        <f>T123*'Factors &amp; Percentages'!$E$16+U123*'Factors &amp; Percentages'!$E$17+V123*'Factors &amp; Percentages'!$E$18</f>
        <v>4263.6987620431701</v>
      </c>
      <c r="X123" s="113"/>
      <c r="Y123" s="81">
        <f t="shared" si="11"/>
        <v>12634.49381200169</v>
      </c>
      <c r="Z123" s="85">
        <f t="shared" si="12"/>
        <v>11917.75</v>
      </c>
      <c r="AA123" s="80">
        <f>IF($AE123&gt;$Z123,$AE123*(1+'Factors &amp; Percentages'!$B$3),IF($Y123&gt;$Z123,$Z123,IF($Y123&gt;$AE123,$Y123,$AE123*(1+'Factors &amp; Percentages'!$B$3))))</f>
        <v>11917.75</v>
      </c>
      <c r="AB123" s="80">
        <f t="shared" si="13"/>
        <v>11917.75</v>
      </c>
      <c r="AC123" s="85"/>
      <c r="AD123" s="80">
        <f t="shared" si="14"/>
        <v>11917.75</v>
      </c>
      <c r="AE123" s="86">
        <v>4000</v>
      </c>
      <c r="AF123" s="87"/>
      <c r="AG123" s="88"/>
      <c r="AH123" s="88"/>
      <c r="AI123" s="88"/>
      <c r="AJ123" s="5"/>
    </row>
    <row r="124" spans="1:36" x14ac:dyDescent="0.3">
      <c r="A124" s="91" t="s">
        <v>121</v>
      </c>
      <c r="B124" s="76" t="s">
        <v>43</v>
      </c>
      <c r="C124" s="76" t="s">
        <v>111</v>
      </c>
      <c r="D124" s="31"/>
      <c r="E124" s="43">
        <f t="shared" si="15"/>
        <v>16814.850000000002</v>
      </c>
      <c r="F124" s="29"/>
      <c r="G124" s="51">
        <f>30584-11457</f>
        <v>19127</v>
      </c>
      <c r="H124" s="59">
        <v>25869</v>
      </c>
      <c r="I124" s="51">
        <v>13689</v>
      </c>
      <c r="J124" s="59">
        <v>0</v>
      </c>
      <c r="K124" s="49">
        <v>1804</v>
      </c>
      <c r="L124" s="29"/>
      <c r="M124" s="62">
        <f t="shared" si="9"/>
        <v>26049.4</v>
      </c>
      <c r="N124" s="58">
        <f t="shared" si="10"/>
        <v>13689</v>
      </c>
      <c r="O124" s="46">
        <f>SUM(M124*'Factors &amp; Percentages'!$E$6+N124*'Factors &amp; Percentages'!$E$7)</f>
        <v>2901.5226613447931</v>
      </c>
      <c r="P124" s="65">
        <v>1</v>
      </c>
      <c r="Q124" s="46">
        <f>P124*'Factors &amp; Percentages'!$E$10</f>
        <v>10965.575791168743</v>
      </c>
      <c r="R124" s="69">
        <v>953</v>
      </c>
      <c r="S124" s="46">
        <f>R124*'Factors &amp; Percentages'!$E$13</f>
        <v>1692.2235383169073</v>
      </c>
      <c r="T124" s="63">
        <v>32</v>
      </c>
      <c r="U124" s="64">
        <v>62</v>
      </c>
      <c r="V124" s="63">
        <v>12178</v>
      </c>
      <c r="W124" s="46">
        <f>T124*'Factors &amp; Percentages'!$E$16+U124*'Factors &amp; Percentages'!$E$17+V124*'Factors &amp; Percentages'!$E$18</f>
        <v>6888.4366557305148</v>
      </c>
      <c r="X124" s="114"/>
      <c r="Y124" s="58">
        <f t="shared" si="11"/>
        <v>22447.758646560957</v>
      </c>
      <c r="Z124" s="71">
        <f t="shared" si="12"/>
        <v>16814.850000000002</v>
      </c>
      <c r="AA124" s="51">
        <f>IF($AE124&gt;$Z124,$AE124*(1+'Factors &amp; Percentages'!$B$3),IF($Y124&gt;$Z124,$Z124,IF($Y124&gt;$AE124,$Y124,$AE124*(1+'Factors &amp; Percentages'!$B$3))))</f>
        <v>16814.850000000002</v>
      </c>
      <c r="AB124" s="59">
        <f t="shared" si="13"/>
        <v>16814.850000000002</v>
      </c>
      <c r="AC124" s="42"/>
      <c r="AD124" s="43">
        <f t="shared" si="14"/>
        <v>16814.850000000002</v>
      </c>
      <c r="AE124" s="75">
        <v>12433</v>
      </c>
      <c r="AF124" s="32"/>
      <c r="AG124" s="33"/>
      <c r="AH124" s="33"/>
      <c r="AI124" s="33"/>
      <c r="AJ124" s="5"/>
    </row>
    <row r="125" spans="1:36" s="89" customFormat="1" x14ac:dyDescent="0.3">
      <c r="A125" s="90" t="s">
        <v>189</v>
      </c>
      <c r="B125" s="78" t="s">
        <v>8</v>
      </c>
      <c r="C125" s="78" t="s">
        <v>185</v>
      </c>
      <c r="D125" s="79"/>
      <c r="E125" s="80">
        <f t="shared" si="15"/>
        <v>17785.600000000002</v>
      </c>
      <c r="F125" s="80"/>
      <c r="G125" s="80">
        <v>27807</v>
      </c>
      <c r="H125" s="80">
        <v>31732</v>
      </c>
      <c r="I125" s="80">
        <v>10838</v>
      </c>
      <c r="J125" s="80">
        <v>1414</v>
      </c>
      <c r="K125" s="80">
        <v>9865</v>
      </c>
      <c r="L125" s="80"/>
      <c r="M125" s="81">
        <f t="shared" si="9"/>
        <v>32718.5</v>
      </c>
      <c r="N125" s="81">
        <f t="shared" si="10"/>
        <v>10979.4</v>
      </c>
      <c r="O125" s="81">
        <f>SUM(M125*'Factors &amp; Percentages'!$E$6+N125*'Factors &amp; Percentages'!$E$7)</f>
        <v>3280.5141995329636</v>
      </c>
      <c r="P125" s="82">
        <v>0.1</v>
      </c>
      <c r="Q125" s="81">
        <f>P125*'Factors &amp; Percentages'!$E$10</f>
        <v>1096.5575791168744</v>
      </c>
      <c r="R125" s="83">
        <v>10654</v>
      </c>
      <c r="S125" s="81">
        <f>R125*'Factors &amp; Percentages'!$E$13</f>
        <v>18918.10029090066</v>
      </c>
      <c r="T125" s="84">
        <v>35</v>
      </c>
      <c r="U125" s="84">
        <v>57</v>
      </c>
      <c r="V125" s="84">
        <v>836</v>
      </c>
      <c r="W125" s="81">
        <f>T125*'Factors &amp; Percentages'!$E$16+U125*'Factors &amp; Percentages'!$E$17+V125*'Factors &amp; Percentages'!$E$18</f>
        <v>5175.7906861116135</v>
      </c>
      <c r="X125" s="113"/>
      <c r="Y125" s="81">
        <f t="shared" si="11"/>
        <v>28470.962755662113</v>
      </c>
      <c r="Z125" s="85">
        <f t="shared" si="12"/>
        <v>20625.8</v>
      </c>
      <c r="AA125" s="80">
        <f>IF($AE125&gt;$Z125,$AE125*(1+'Factors &amp; Percentages'!$B$3),IF($Y125&gt;$Z125,$Z125,IF($Y125&gt;$AE125,$Y125,$AE125*(1+'Factors &amp; Percentages'!$B$3))))</f>
        <v>20625.8</v>
      </c>
      <c r="AB125" s="80">
        <f t="shared" si="13"/>
        <v>17785.600000000002</v>
      </c>
      <c r="AC125" s="85"/>
      <c r="AD125" s="80">
        <f t="shared" si="14"/>
        <v>17785.600000000002</v>
      </c>
      <c r="AE125" s="86">
        <v>15800</v>
      </c>
      <c r="AF125" s="87"/>
      <c r="AG125" s="88"/>
      <c r="AH125" s="88"/>
      <c r="AI125" s="88"/>
      <c r="AJ125" s="5"/>
    </row>
    <row r="126" spans="1:36" x14ac:dyDescent="0.3">
      <c r="A126" s="91" t="s">
        <v>53</v>
      </c>
      <c r="B126" s="76" t="s">
        <v>43</v>
      </c>
      <c r="C126" s="76" t="s">
        <v>42</v>
      </c>
      <c r="D126" s="31"/>
      <c r="E126" s="43">
        <f t="shared" si="15"/>
        <v>17124.900000000001</v>
      </c>
      <c r="F126" s="29"/>
      <c r="G126" s="51">
        <v>28815</v>
      </c>
      <c r="H126" s="59">
        <v>26346</v>
      </c>
      <c r="I126" s="51">
        <v>12137</v>
      </c>
      <c r="J126" s="59">
        <v>680</v>
      </c>
      <c r="K126" s="49">
        <v>290</v>
      </c>
      <c r="L126" s="29"/>
      <c r="M126" s="62">
        <f t="shared" si="9"/>
        <v>26375</v>
      </c>
      <c r="N126" s="58">
        <f t="shared" si="10"/>
        <v>12205</v>
      </c>
      <c r="O126" s="46">
        <f>SUM(M126*'Factors &amp; Percentages'!$E$6+N126*'Factors &amp; Percentages'!$E$7)</f>
        <v>2840.8818307990919</v>
      </c>
      <c r="P126" s="65">
        <v>0.25</v>
      </c>
      <c r="Q126" s="46">
        <f>P126*'Factors &amp; Percentages'!$E$10</f>
        <v>2741.3939477921858</v>
      </c>
      <c r="R126" s="69">
        <v>6724</v>
      </c>
      <c r="S126" s="46">
        <f>R126*'Factors &amp; Percentages'!$E$13</f>
        <v>11939.675835931674</v>
      </c>
      <c r="T126" s="63">
        <v>18</v>
      </c>
      <c r="U126" s="64">
        <v>98</v>
      </c>
      <c r="V126" s="63">
        <v>5034</v>
      </c>
      <c r="W126" s="46">
        <f>T126*'Factors &amp; Percentages'!$E$16+U126*'Factors &amp; Percentages'!$E$17+V126*'Factors &amp; Percentages'!$E$18</f>
        <v>4692.4253067715044</v>
      </c>
      <c r="X126" s="114"/>
      <c r="Y126" s="58">
        <f t="shared" si="11"/>
        <v>22214.376921294453</v>
      </c>
      <c r="Z126" s="71">
        <f t="shared" si="12"/>
        <v>17124.900000000001</v>
      </c>
      <c r="AA126" s="51">
        <f>IF($AE126&gt;$Z126,$AE126*(1+'Factors &amp; Percentages'!$B$3),IF($Y126&gt;$Z126,$Z126,IF($Y126&gt;$AE126,$Y126,$AE126*(1+'Factors &amp; Percentages'!$B$3))))</f>
        <v>17124.900000000001</v>
      </c>
      <c r="AB126" s="59">
        <f t="shared" si="13"/>
        <v>17124.900000000001</v>
      </c>
      <c r="AC126" s="42"/>
      <c r="AD126" s="43">
        <f t="shared" si="14"/>
        <v>17124.900000000001</v>
      </c>
      <c r="AE126" s="75">
        <v>12000</v>
      </c>
      <c r="AF126" s="32"/>
      <c r="AG126" s="33"/>
      <c r="AH126" s="33"/>
      <c r="AI126" s="33"/>
      <c r="AJ126" s="5"/>
    </row>
    <row r="127" spans="1:36" s="89" customFormat="1" x14ac:dyDescent="0.3">
      <c r="A127" s="90" t="s">
        <v>38</v>
      </c>
      <c r="B127" s="78" t="s">
        <v>8</v>
      </c>
      <c r="C127" s="78" t="s">
        <v>30</v>
      </c>
      <c r="D127" s="79"/>
      <c r="E127" s="80">
        <f t="shared" si="15"/>
        <v>18622.47194162463</v>
      </c>
      <c r="F127" s="80"/>
      <c r="G127" s="80">
        <v>13468</v>
      </c>
      <c r="H127" s="80">
        <v>20289</v>
      </c>
      <c r="I127" s="80">
        <v>37623</v>
      </c>
      <c r="J127" s="80">
        <v>0</v>
      </c>
      <c r="K127" s="80">
        <v>370</v>
      </c>
      <c r="L127" s="80"/>
      <c r="M127" s="81">
        <f t="shared" si="9"/>
        <v>20326</v>
      </c>
      <c r="N127" s="81">
        <f t="shared" si="10"/>
        <v>37623</v>
      </c>
      <c r="O127" s="81">
        <f>SUM(M127*'Factors &amp; Percentages'!$E$6+N127*'Factors &amp; Percentages'!$E$7)</f>
        <v>3841.4797420128525</v>
      </c>
      <c r="P127" s="82">
        <v>0.33</v>
      </c>
      <c r="Q127" s="81">
        <f>P127*'Factors &amp; Percentages'!$E$10</f>
        <v>3618.6400110856853</v>
      </c>
      <c r="R127" s="83">
        <v>4659</v>
      </c>
      <c r="S127" s="81">
        <f>R127*'Factors &amp; Percentages'!$E$13</f>
        <v>8272.8955561578914</v>
      </c>
      <c r="T127" s="84">
        <v>17</v>
      </c>
      <c r="U127" s="84">
        <v>39</v>
      </c>
      <c r="V127" s="84">
        <v>1401</v>
      </c>
      <c r="W127" s="81">
        <f>T127*'Factors &amp; Percentages'!$E$16+U127*'Factors &amp; Percentages'!$E$17+V127*'Factors &amp; Percentages'!$E$18</f>
        <v>2889.4566323682029</v>
      </c>
      <c r="X127" s="113"/>
      <c r="Y127" s="81">
        <f t="shared" si="11"/>
        <v>18622.47194162463</v>
      </c>
      <c r="Z127" s="85">
        <f t="shared" si="12"/>
        <v>18622.47194162463</v>
      </c>
      <c r="AA127" s="80">
        <f>IF($AE127&gt;$Z127,$AE127*(1+'Factors &amp; Percentages'!$B$3),IF($Y127&gt;$Z127,$Z127,IF($Y127&gt;$AE127,$Y127,$AE127*(1+'Factors &amp; Percentages'!$B$3))))</f>
        <v>18622.47194162463</v>
      </c>
      <c r="AB127" s="80">
        <f t="shared" si="13"/>
        <v>18622.47194162463</v>
      </c>
      <c r="AC127" s="85"/>
      <c r="AD127" s="80">
        <f t="shared" si="14"/>
        <v>18622.47194162463</v>
      </c>
      <c r="AE127" s="86">
        <v>8000</v>
      </c>
      <c r="AF127" s="87"/>
      <c r="AG127" s="88"/>
      <c r="AH127" s="88"/>
      <c r="AI127" s="88"/>
      <c r="AJ127" s="5"/>
    </row>
    <row r="128" spans="1:36" x14ac:dyDescent="0.3">
      <c r="A128" s="91" t="s">
        <v>172</v>
      </c>
      <c r="B128" s="76" t="s">
        <v>75</v>
      </c>
      <c r="C128" s="76" t="s">
        <v>163</v>
      </c>
      <c r="D128" s="31"/>
      <c r="E128" s="43">
        <f t="shared" si="15"/>
        <v>12728.95</v>
      </c>
      <c r="F128" s="29"/>
      <c r="G128" s="51">
        <f>21643-3950</f>
        <v>17693</v>
      </c>
      <c r="H128" s="59">
        <v>19583</v>
      </c>
      <c r="I128" s="51">
        <v>5364</v>
      </c>
      <c r="J128" s="59">
        <v>11808</v>
      </c>
      <c r="K128" s="49">
        <v>14</v>
      </c>
      <c r="L128" s="29"/>
      <c r="M128" s="62">
        <f t="shared" si="9"/>
        <v>19584.400000000001</v>
      </c>
      <c r="N128" s="58">
        <f t="shared" si="10"/>
        <v>6544.8</v>
      </c>
      <c r="O128" s="46">
        <f>SUM(M128*'Factors &amp; Percentages'!$E$6+N128*'Factors &amp; Percentages'!$E$7)</f>
        <v>1962.0353929872035</v>
      </c>
      <c r="P128" s="65">
        <v>0.33</v>
      </c>
      <c r="Q128" s="46">
        <f>P128*'Factors &amp; Percentages'!$E$10</f>
        <v>3618.6400110856853</v>
      </c>
      <c r="R128" s="69">
        <v>5387</v>
      </c>
      <c r="S128" s="46">
        <f>R128*'Factors &amp; Percentages'!$E$13</f>
        <v>9565.5909768239035</v>
      </c>
      <c r="T128" s="63">
        <v>30</v>
      </c>
      <c r="U128" s="64">
        <v>36</v>
      </c>
      <c r="V128" s="63">
        <v>2180</v>
      </c>
      <c r="W128" s="46">
        <f>T128*'Factors &amp; Percentages'!$E$16+U128*'Factors &amp; Percentages'!$E$17+V128*'Factors &amp; Percentages'!$E$18</f>
        <v>4459.4462819297896</v>
      </c>
      <c r="X128" s="114"/>
      <c r="Y128" s="58">
        <f t="shared" si="11"/>
        <v>19605.712662826583</v>
      </c>
      <c r="Z128" s="71">
        <f t="shared" si="12"/>
        <v>12728.95</v>
      </c>
      <c r="AA128" s="51">
        <f>IF($AE128&gt;$Z128,$AE128*(1+'Factors &amp; Percentages'!$B$3),IF($Y128&gt;$Z128,$Z128,IF($Y128&gt;$AE128,$Y128,$AE128*(1+'Factors &amp; Percentages'!$B$3))))</f>
        <v>12728.95</v>
      </c>
      <c r="AB128" s="59">
        <f t="shared" si="13"/>
        <v>12728.95</v>
      </c>
      <c r="AC128" s="42"/>
      <c r="AD128" s="43">
        <f t="shared" si="14"/>
        <v>12728.95</v>
      </c>
      <c r="AE128" s="75">
        <v>11500</v>
      </c>
      <c r="AF128" s="32"/>
      <c r="AG128" s="33"/>
      <c r="AH128" s="33"/>
      <c r="AI128" s="33"/>
      <c r="AJ128" s="5"/>
    </row>
    <row r="129" spans="1:36" s="89" customFormat="1" x14ac:dyDescent="0.3">
      <c r="A129" s="90" t="s">
        <v>16</v>
      </c>
      <c r="B129" s="78" t="s">
        <v>8</v>
      </c>
      <c r="C129" s="78" t="s">
        <v>8</v>
      </c>
      <c r="D129" s="79"/>
      <c r="E129" s="80">
        <f t="shared" si="15"/>
        <v>21535.15</v>
      </c>
      <c r="F129" s="80"/>
      <c r="G129" s="80">
        <v>33500</v>
      </c>
      <c r="H129" s="80">
        <v>33131</v>
      </c>
      <c r="I129" s="80">
        <v>14341</v>
      </c>
      <c r="J129" s="80">
        <v>12874</v>
      </c>
      <c r="K129" s="80">
        <v>853</v>
      </c>
      <c r="L129" s="80"/>
      <c r="M129" s="81">
        <f t="shared" si="9"/>
        <v>33216.300000000003</v>
      </c>
      <c r="N129" s="81">
        <f t="shared" si="10"/>
        <v>15628.4</v>
      </c>
      <c r="O129" s="81">
        <f>SUM(M129*'Factors &amp; Percentages'!$E$6+N129*'Factors &amp; Percentages'!$E$7)</f>
        <v>3592.8487144338678</v>
      </c>
      <c r="P129" s="82">
        <v>0.25</v>
      </c>
      <c r="Q129" s="81">
        <f>P129*'Factors &amp; Percentages'!$E$10</f>
        <v>2741.3939477921858</v>
      </c>
      <c r="R129" s="83">
        <v>6450</v>
      </c>
      <c r="S129" s="81">
        <f>R129*'Factors &amp; Percentages'!$E$13</f>
        <v>11453.139372659027</v>
      </c>
      <c r="T129" s="84">
        <v>27</v>
      </c>
      <c r="U129" s="84">
        <v>66</v>
      </c>
      <c r="V129" s="84">
        <v>1329</v>
      </c>
      <c r="W129" s="81">
        <f>T129*'Factors &amp; Percentages'!$E$16+U129*'Factors &amp; Percentages'!$E$17+V129*'Factors &amp; Percentages'!$E$18</f>
        <v>4506.588294821966</v>
      </c>
      <c r="X129" s="113"/>
      <c r="Y129" s="81">
        <f t="shared" si="11"/>
        <v>22293.970329707045</v>
      </c>
      <c r="Z129" s="85">
        <f t="shared" si="12"/>
        <v>21535.15</v>
      </c>
      <c r="AA129" s="80">
        <f>IF($AE129&gt;$Z129,$AE129*(1+'Factors &amp; Percentages'!$B$3),IF($Y129&gt;$Z129,$Z129,IF($Y129&gt;$AE129,$Y129,$AE129*(1+'Factors &amp; Percentages'!$B$3))))</f>
        <v>21535.15</v>
      </c>
      <c r="AB129" s="80">
        <f t="shared" si="13"/>
        <v>21535.15</v>
      </c>
      <c r="AC129" s="85"/>
      <c r="AD129" s="80">
        <f t="shared" si="14"/>
        <v>21535.15</v>
      </c>
      <c r="AE129" s="86">
        <v>21215</v>
      </c>
      <c r="AF129" s="87"/>
      <c r="AG129" s="88"/>
      <c r="AH129" s="88"/>
      <c r="AI129" s="88"/>
      <c r="AJ129" s="5"/>
    </row>
    <row r="130" spans="1:36" x14ac:dyDescent="0.3">
      <c r="A130" s="91" t="s">
        <v>39</v>
      </c>
      <c r="B130" s="76" t="s">
        <v>8</v>
      </c>
      <c r="C130" s="76" t="s">
        <v>30</v>
      </c>
      <c r="D130" s="31"/>
      <c r="E130" s="43">
        <f t="shared" si="15"/>
        <v>10671.359999999999</v>
      </c>
      <c r="F130" s="29"/>
      <c r="G130" s="51">
        <f>17018-1724</f>
        <v>15294</v>
      </c>
      <c r="H130" s="59">
        <v>7791</v>
      </c>
      <c r="I130" s="51">
        <v>25823</v>
      </c>
      <c r="J130" s="59">
        <v>19616</v>
      </c>
      <c r="K130" s="49">
        <v>25</v>
      </c>
      <c r="L130" s="29"/>
      <c r="M130" s="62">
        <f t="shared" si="9"/>
        <v>7793.5</v>
      </c>
      <c r="N130" s="58">
        <f t="shared" si="10"/>
        <v>27784.6</v>
      </c>
      <c r="O130" s="46">
        <f>SUM(M130*'Factors &amp; Percentages'!$E$6+N130*'Factors &amp; Percentages'!$E$7)</f>
        <v>2255.1022144065496</v>
      </c>
      <c r="P130" s="65">
        <v>0.06</v>
      </c>
      <c r="Q130" s="46">
        <f>P130*'Factors &amp; Percentages'!$E$10</f>
        <v>657.93454747012458</v>
      </c>
      <c r="R130" s="69">
        <v>3276</v>
      </c>
      <c r="S130" s="46">
        <f>R130*'Factors &amp; Percentages'!$E$13</f>
        <v>5817.1293929970498</v>
      </c>
      <c r="T130" s="63">
        <v>16</v>
      </c>
      <c r="U130" s="64">
        <v>31</v>
      </c>
      <c r="V130" s="63">
        <v>1273</v>
      </c>
      <c r="W130" s="46">
        <f>T130*'Factors &amp; Percentages'!$E$16+U130*'Factors &amp; Percentages'!$E$17+V130*'Factors &amp; Percentages'!$E$18</f>
        <v>2609.2118492790314</v>
      </c>
      <c r="X130" s="114"/>
      <c r="Y130" s="58">
        <f t="shared" si="11"/>
        <v>11339.378004152757</v>
      </c>
      <c r="Z130" s="71">
        <f t="shared" si="12"/>
        <v>11339.378004152757</v>
      </c>
      <c r="AA130" s="51">
        <f>IF($AE130&gt;$Z130,$AE130*(1+'Factors &amp; Percentages'!$B$3),IF($Y130&gt;$Z130,$Z130,IF($Y130&gt;$AE130,$Y130,$AE130*(1+'Factors &amp; Percentages'!$B$3))))</f>
        <v>11339.378004152757</v>
      </c>
      <c r="AB130" s="59">
        <f t="shared" si="13"/>
        <v>10671.359999999999</v>
      </c>
      <c r="AC130" s="42"/>
      <c r="AD130" s="43">
        <f t="shared" si="14"/>
        <v>10671.359999999999</v>
      </c>
      <c r="AE130" s="75">
        <v>2500</v>
      </c>
      <c r="AF130" s="32"/>
      <c r="AG130" s="33"/>
      <c r="AH130" s="33"/>
      <c r="AI130" s="33"/>
      <c r="AJ130" s="5"/>
    </row>
    <row r="131" spans="1:36" s="89" customFormat="1" x14ac:dyDescent="0.3">
      <c r="A131" s="90" t="s">
        <v>72</v>
      </c>
      <c r="B131" s="78" t="s">
        <v>8</v>
      </c>
      <c r="C131" s="78" t="s">
        <v>59</v>
      </c>
      <c r="D131" s="79"/>
      <c r="E131" s="80">
        <f t="shared" ref="E131:E137" si="16">+AB131</f>
        <v>36199.493947147646</v>
      </c>
      <c r="F131" s="80"/>
      <c r="G131" s="80">
        <v>48817</v>
      </c>
      <c r="H131" s="80">
        <v>52214</v>
      </c>
      <c r="I131" s="80">
        <v>51164</v>
      </c>
      <c r="J131" s="80">
        <v>180973</v>
      </c>
      <c r="K131" s="80">
        <v>6151</v>
      </c>
      <c r="L131" s="80"/>
      <c r="M131" s="81">
        <f t="shared" ref="M131:M194" si="17">H131+K131*0.1</f>
        <v>52829.1</v>
      </c>
      <c r="N131" s="81">
        <f t="shared" ref="N131:N194" si="18">I131+0.1*J131</f>
        <v>69261.3</v>
      </c>
      <c r="O131" s="81">
        <f>SUM(M131*'Factors &amp; Percentages'!$E$6+N131*'Factors &amp; Percentages'!$E$7)</f>
        <v>8314.2278579787362</v>
      </c>
      <c r="P131" s="82">
        <v>0.4</v>
      </c>
      <c r="Q131" s="81">
        <f>P131*'Factors &amp; Percentages'!$E$10</f>
        <v>4386.2303164674977</v>
      </c>
      <c r="R131" s="83">
        <v>10110</v>
      </c>
      <c r="S131" s="81">
        <f>R131*'Factors &amp; Percentages'!$E$13</f>
        <v>17952.130086446938</v>
      </c>
      <c r="T131" s="84">
        <v>32</v>
      </c>
      <c r="U131" s="84">
        <v>59</v>
      </c>
      <c r="V131" s="84">
        <v>4751</v>
      </c>
      <c r="W131" s="81">
        <f>T131*'Factors &amp; Percentages'!$E$16+U131*'Factors &amp; Percentages'!$E$17+V131*'Factors &amp; Percentages'!$E$18</f>
        <v>5546.905686254473</v>
      </c>
      <c r="X131" s="113"/>
      <c r="Y131" s="81">
        <f t="shared" ref="Y131:Y194" si="19">O131+Q131+S131+W131</f>
        <v>36199.493947147646</v>
      </c>
      <c r="Z131" s="85">
        <f t="shared" ref="Z131:Z194" si="20">IF($I131&gt;($H131+$G131)/2,$Y131,MIN(Y131,$H131*0.65))</f>
        <v>36199.493947147646</v>
      </c>
      <c r="AA131" s="80">
        <f>IF($AE131&gt;$Z131,$AE131*(1+'Factors &amp; Percentages'!$B$3),IF($Y131&gt;$Z131,$Z131,IF($Y131&gt;$AE131,$Y131,$AE131*(1+'Factors &amp; Percentages'!$B$3))))</f>
        <v>36199.493947147646</v>
      </c>
      <c r="AB131" s="80">
        <f t="shared" ref="AB131:AB194" si="21">MIN(AA131,+P131*2*88928)</f>
        <v>36199.493947147646</v>
      </c>
      <c r="AC131" s="85"/>
      <c r="AD131" s="80">
        <f t="shared" si="14"/>
        <v>36199.493947147646</v>
      </c>
      <c r="AE131" s="86">
        <v>28000</v>
      </c>
      <c r="AF131" s="87"/>
      <c r="AG131" s="88"/>
      <c r="AH131" s="88"/>
      <c r="AI131" s="88"/>
      <c r="AJ131" s="5"/>
    </row>
    <row r="132" spans="1:36" x14ac:dyDescent="0.3">
      <c r="A132" s="91" t="s">
        <v>241</v>
      </c>
      <c r="B132" s="76" t="s">
        <v>43</v>
      </c>
      <c r="C132" s="76" t="s">
        <v>201</v>
      </c>
      <c r="D132" s="31"/>
      <c r="E132" s="43">
        <f t="shared" si="16"/>
        <v>22263.537707118434</v>
      </c>
      <c r="F132" s="29"/>
      <c r="G132" s="51">
        <f>71920-59424</f>
        <v>12496</v>
      </c>
      <c r="H132" s="59">
        <v>14871</v>
      </c>
      <c r="I132" s="51">
        <v>77083</v>
      </c>
      <c r="J132" s="59">
        <v>5082</v>
      </c>
      <c r="K132" s="49">
        <v>62</v>
      </c>
      <c r="L132" s="29"/>
      <c r="M132" s="62">
        <f t="shared" si="17"/>
        <v>14877.2</v>
      </c>
      <c r="N132" s="58">
        <f t="shared" si="18"/>
        <v>77591.199999999997</v>
      </c>
      <c r="O132" s="46">
        <f>SUM(M132*'Factors &amp; Percentages'!$E$6+N132*'Factors &amp; Percentages'!$E$7)</f>
        <v>5742.3922528940184</v>
      </c>
      <c r="P132" s="65">
        <v>1</v>
      </c>
      <c r="Q132" s="46">
        <f>P132*'Factors &amp; Percentages'!$E$10</f>
        <v>10965.575791168743</v>
      </c>
      <c r="R132" s="69">
        <v>779</v>
      </c>
      <c r="S132" s="46">
        <f>R132*'Factors &amp; Percentages'!$E$13</f>
        <v>1383.2551273335475</v>
      </c>
      <c r="T132" s="63">
        <v>22</v>
      </c>
      <c r="U132" s="64">
        <v>38</v>
      </c>
      <c r="V132" s="63">
        <f>11202/2</f>
        <v>5601</v>
      </c>
      <c r="W132" s="46">
        <f>T132*'Factors &amp; Percentages'!$E$16+U132*'Factors &amp; Percentages'!$E$17+V132*'Factors &amp; Percentages'!$E$18</f>
        <v>4172.3145357221201</v>
      </c>
      <c r="X132" s="114"/>
      <c r="Y132" s="58">
        <f t="shared" si="19"/>
        <v>22263.537707118434</v>
      </c>
      <c r="Z132" s="71">
        <f t="shared" si="20"/>
        <v>22263.537707118434</v>
      </c>
      <c r="AA132" s="51">
        <f>IF($AE132&gt;$Z132,$AE132*(1+'Factors &amp; Percentages'!$B$3),IF($Y132&gt;$Z132,$Z132,IF($Y132&gt;$AE132,$Y132,$AE132*(1+'Factors &amp; Percentages'!$B$3))))</f>
        <v>22263.537707118434</v>
      </c>
      <c r="AB132" s="59">
        <f t="shared" si="21"/>
        <v>22263.537707118434</v>
      </c>
      <c r="AC132" s="42"/>
      <c r="AD132" s="43">
        <f t="shared" ref="AD132:AD195" si="22">AB132</f>
        <v>22263.537707118434</v>
      </c>
      <c r="AE132" s="75">
        <v>12132</v>
      </c>
      <c r="AF132" s="32"/>
      <c r="AG132" s="33"/>
      <c r="AH132" s="33"/>
      <c r="AI132" s="33"/>
      <c r="AJ132" s="5"/>
    </row>
    <row r="133" spans="1:36" s="89" customFormat="1" x14ac:dyDescent="0.3">
      <c r="A133" s="90" t="s">
        <v>208</v>
      </c>
      <c r="B133" s="78" t="s">
        <v>43</v>
      </c>
      <c r="C133" s="78" t="s">
        <v>201</v>
      </c>
      <c r="D133" s="79"/>
      <c r="E133" s="80">
        <f t="shared" si="16"/>
        <v>57913.469957153618</v>
      </c>
      <c r="F133" s="80"/>
      <c r="G133" s="80">
        <v>128361</v>
      </c>
      <c r="H133" s="80">
        <v>134252</v>
      </c>
      <c r="I133" s="80">
        <v>121118</v>
      </c>
      <c r="J133" s="80">
        <v>103212</v>
      </c>
      <c r="K133" s="80">
        <v>1601</v>
      </c>
      <c r="L133" s="80"/>
      <c r="M133" s="81">
        <f t="shared" si="17"/>
        <v>134412.1</v>
      </c>
      <c r="N133" s="81">
        <f t="shared" si="18"/>
        <v>131439.20000000001</v>
      </c>
      <c r="O133" s="81">
        <f>SUM(M133*'Factors &amp; Percentages'!$E$6+N133*'Factors &amp; Percentages'!$E$7)</f>
        <v>18531.762113508463</v>
      </c>
      <c r="P133" s="82">
        <v>1</v>
      </c>
      <c r="Q133" s="81">
        <f>P133*'Factors &amp; Percentages'!$E$10</f>
        <v>10965.575791168743</v>
      </c>
      <c r="R133" s="83">
        <v>6371</v>
      </c>
      <c r="S133" s="81">
        <f>R133*'Factors &amp; Percentages'!$E$13</f>
        <v>11312.860611350488</v>
      </c>
      <c r="T133" s="84">
        <f>43+22+24</f>
        <v>89</v>
      </c>
      <c r="U133" s="84">
        <v>184</v>
      </c>
      <c r="V133" s="84">
        <v>20820</v>
      </c>
      <c r="W133" s="81">
        <f>T133*'Factors &amp; Percentages'!$E$16+U133*'Factors &amp; Percentages'!$E$17+V133*'Factors &amp; Percentages'!$E$18</f>
        <v>17103.271441125926</v>
      </c>
      <c r="X133" s="113"/>
      <c r="Y133" s="81">
        <f t="shared" si="19"/>
        <v>57913.469957153618</v>
      </c>
      <c r="Z133" s="85">
        <f t="shared" si="20"/>
        <v>57913.469957153618</v>
      </c>
      <c r="AA133" s="80">
        <f>IF($AE133&gt;$Z133,$AE133*(1+'Factors &amp; Percentages'!$B$3),IF($Y133&gt;$Z133,$Z133,IF($Y133&gt;$AE133,$Y133,$AE133*(1+'Factors &amp; Percentages'!$B$3))))</f>
        <v>57913.469957153618</v>
      </c>
      <c r="AB133" s="80">
        <f t="shared" si="21"/>
        <v>57913.469957153618</v>
      </c>
      <c r="AC133" s="85"/>
      <c r="AD133" s="80">
        <f t="shared" si="22"/>
        <v>57913.469957153618</v>
      </c>
      <c r="AE133" s="86">
        <v>30000</v>
      </c>
      <c r="AF133" s="87"/>
      <c r="AG133" s="88"/>
      <c r="AH133" s="88"/>
      <c r="AI133" s="88"/>
      <c r="AJ133" s="5"/>
    </row>
    <row r="134" spans="1:36" x14ac:dyDescent="0.3">
      <c r="A134" s="91" t="s">
        <v>104</v>
      </c>
      <c r="B134" s="76" t="s">
        <v>43</v>
      </c>
      <c r="C134" s="76" t="s">
        <v>99</v>
      </c>
      <c r="D134" s="31"/>
      <c r="E134" s="43">
        <f t="shared" si="16"/>
        <v>17706.150000000001</v>
      </c>
      <c r="F134" s="29"/>
      <c r="G134" s="51">
        <v>27654</v>
      </c>
      <c r="H134" s="59">
        <v>32195</v>
      </c>
      <c r="I134" s="51">
        <v>25080</v>
      </c>
      <c r="J134" s="59">
        <v>8292</v>
      </c>
      <c r="K134" s="49">
        <v>11967</v>
      </c>
      <c r="L134" s="29"/>
      <c r="M134" s="62">
        <f t="shared" si="17"/>
        <v>33391.699999999997</v>
      </c>
      <c r="N134" s="58">
        <f t="shared" si="18"/>
        <v>25909.200000000001</v>
      </c>
      <c r="O134" s="46">
        <f>SUM(M134*'Factors &amp; Percentages'!$E$6+N134*'Factors &amp; Percentages'!$E$7)</f>
        <v>4208.9397736700066</v>
      </c>
      <c r="P134" s="70">
        <v>0.41562500000000002</v>
      </c>
      <c r="Q134" s="46">
        <f>P134*'Factors &amp; Percentages'!$E$10</f>
        <v>4557.567438204509</v>
      </c>
      <c r="R134" s="69">
        <v>1099</v>
      </c>
      <c r="S134" s="46">
        <f>R134*'Factors &amp; Percentages'!$E$13</f>
        <v>1951.4728946592666</v>
      </c>
      <c r="T134" s="63">
        <v>28</v>
      </c>
      <c r="U134" s="64">
        <v>54</v>
      </c>
      <c r="V134" s="63">
        <v>7839</v>
      </c>
      <c r="W134" s="46">
        <f>T134*'Factors &amp; Percentages'!$E$16+U134*'Factors &amp; Percentages'!$E$17+V134*'Factors &amp; Percentages'!$E$18</f>
        <v>5534.5236501894888</v>
      </c>
      <c r="X134" s="114"/>
      <c r="Y134" s="58">
        <f t="shared" si="19"/>
        <v>16252.50375672327</v>
      </c>
      <c r="Z134" s="71">
        <f t="shared" si="20"/>
        <v>16252.50375672327</v>
      </c>
      <c r="AA134" s="51">
        <f>IF($AE134&gt;$Z134,$AE134*(1+'Factors &amp; Percentages'!$B$3),IF($Y134&gt;$Z134,$Z134,IF($Y134&gt;$AE134,$Y134,$AE134*(1+'Factors &amp; Percentages'!$B$3))))</f>
        <v>17706.150000000001</v>
      </c>
      <c r="AB134" s="59">
        <f t="shared" si="21"/>
        <v>17706.150000000001</v>
      </c>
      <c r="AC134" s="42"/>
      <c r="AD134" s="43">
        <f t="shared" si="22"/>
        <v>17706.150000000001</v>
      </c>
      <c r="AE134" s="75">
        <v>16863</v>
      </c>
      <c r="AF134" s="32"/>
      <c r="AG134" s="33"/>
      <c r="AH134" s="33"/>
      <c r="AI134" s="33"/>
      <c r="AJ134" s="5"/>
    </row>
    <row r="135" spans="1:36" s="89" customFormat="1" x14ac:dyDescent="0.3">
      <c r="A135" s="90" t="s">
        <v>91</v>
      </c>
      <c r="B135" s="78" t="s">
        <v>75</v>
      </c>
      <c r="C135" s="78" t="s">
        <v>75</v>
      </c>
      <c r="D135" s="79"/>
      <c r="E135" s="80">
        <f t="shared" si="16"/>
        <v>63525</v>
      </c>
      <c r="F135" s="80"/>
      <c r="G135" s="80">
        <v>90222</v>
      </c>
      <c r="H135" s="80">
        <v>109455</v>
      </c>
      <c r="I135" s="80">
        <v>89209</v>
      </c>
      <c r="J135" s="80">
        <v>22021</v>
      </c>
      <c r="K135" s="80">
        <v>20494</v>
      </c>
      <c r="L135" s="80"/>
      <c r="M135" s="81">
        <f t="shared" si="17"/>
        <v>111504.4</v>
      </c>
      <c r="N135" s="81">
        <f t="shared" si="18"/>
        <v>91411.1</v>
      </c>
      <c r="O135" s="81">
        <f>SUM(M135*'Factors &amp; Percentages'!$E$6+N135*'Factors &amp; Percentages'!$E$7)</f>
        <v>14341.33311716418</v>
      </c>
      <c r="P135" s="82">
        <v>0.4</v>
      </c>
      <c r="Q135" s="81">
        <f>P135*'Factors &amp; Percentages'!$E$10</f>
        <v>4386.2303164674977</v>
      </c>
      <c r="R135" s="83">
        <v>12282</v>
      </c>
      <c r="S135" s="81">
        <f>R135*'Factors &amp; Percentages'!$E$13</f>
        <v>21808.908182170257</v>
      </c>
      <c r="T135" s="84">
        <v>56</v>
      </c>
      <c r="U135" s="84">
        <v>110</v>
      </c>
      <c r="V135" s="84">
        <v>3988</v>
      </c>
      <c r="W135" s="81">
        <f>T135*'Factors &amp; Percentages'!$E$16+U135*'Factors &amp; Percentages'!$E$17+V135*'Factors &amp; Percentages'!$E$18</f>
        <v>9078.097886000136</v>
      </c>
      <c r="X135" s="113"/>
      <c r="Y135" s="81">
        <f t="shared" si="19"/>
        <v>49614.569501802071</v>
      </c>
      <c r="Z135" s="85">
        <f t="shared" si="20"/>
        <v>49614.569501802071</v>
      </c>
      <c r="AA135" s="80">
        <f>IF($AE135&gt;$Z135,$AE135*(1+'Factors &amp; Percentages'!$B$3),IF($Y135&gt;$Z135,$Z135,IF($Y135&gt;$AE135,$Y135,$AE135*(1+'Factors &amp; Percentages'!$B$3))))</f>
        <v>63525</v>
      </c>
      <c r="AB135" s="80">
        <f t="shared" si="21"/>
        <v>63525</v>
      </c>
      <c r="AC135" s="85"/>
      <c r="AD135" s="80">
        <f t="shared" si="22"/>
        <v>63525</v>
      </c>
      <c r="AE135" s="86">
        <v>60500</v>
      </c>
      <c r="AF135" s="87"/>
      <c r="AG135" s="88"/>
      <c r="AH135" s="88"/>
      <c r="AI135" s="88"/>
      <c r="AJ135" s="5"/>
    </row>
    <row r="136" spans="1:36" x14ac:dyDescent="0.3">
      <c r="A136" s="91" t="s">
        <v>105</v>
      </c>
      <c r="B136" s="76" t="s">
        <v>43</v>
      </c>
      <c r="C136" s="76" t="s">
        <v>99</v>
      </c>
      <c r="D136" s="31"/>
      <c r="E136" s="43">
        <f t="shared" si="16"/>
        <v>13657.800000000001</v>
      </c>
      <c r="F136" s="29"/>
      <c r="G136" s="51">
        <f>25987-3185</f>
        <v>22802</v>
      </c>
      <c r="H136" s="59">
        <v>21012</v>
      </c>
      <c r="I136" s="51">
        <v>5486</v>
      </c>
      <c r="J136" s="59">
        <v>25461</v>
      </c>
      <c r="K136" s="49">
        <v>5060</v>
      </c>
      <c r="L136" s="29"/>
      <c r="M136" s="62">
        <f t="shared" si="17"/>
        <v>21518</v>
      </c>
      <c r="N136" s="58">
        <f t="shared" si="18"/>
        <v>8032.1</v>
      </c>
      <c r="O136" s="46">
        <f>SUM(M136*'Factors &amp; Percentages'!$E$6+N136*'Factors &amp; Percentages'!$E$7)</f>
        <v>2204.9988360681291</v>
      </c>
      <c r="P136" s="70">
        <v>0.765625</v>
      </c>
      <c r="Q136" s="46">
        <f>P136*'Factors &amp; Percentages'!$E$10</f>
        <v>8395.5189651135697</v>
      </c>
      <c r="R136" s="69">
        <v>3008</v>
      </c>
      <c r="S136" s="46">
        <f>R136*'Factors &amp; Percentages'!$E$13</f>
        <v>5341.2470128617597</v>
      </c>
      <c r="T136" s="63">
        <v>11</v>
      </c>
      <c r="U136" s="64">
        <v>34</v>
      </c>
      <c r="V136" s="63">
        <v>8450</v>
      </c>
      <c r="W136" s="46">
        <f>T136*'Factors &amp; Percentages'!$E$16+U136*'Factors &amp; Percentages'!$E$17+V136*'Factors &amp; Percentages'!$E$18</f>
        <v>3334.8012179143097</v>
      </c>
      <c r="X136" s="114"/>
      <c r="Y136" s="58">
        <f t="shared" si="19"/>
        <v>19276.566031957766</v>
      </c>
      <c r="Z136" s="71">
        <f t="shared" si="20"/>
        <v>13657.800000000001</v>
      </c>
      <c r="AA136" s="51">
        <f>IF($AE136&gt;$Z136,$AE136*(1+'Factors &amp; Percentages'!$B$3),IF($Y136&gt;$Z136,$Z136,IF($Y136&gt;$AE136,$Y136,$AE136*(1+'Factors &amp; Percentages'!$B$3))))</f>
        <v>13657.800000000001</v>
      </c>
      <c r="AB136" s="59">
        <f t="shared" si="21"/>
        <v>13657.800000000001</v>
      </c>
      <c r="AC136" s="42"/>
      <c r="AD136" s="43">
        <f t="shared" si="22"/>
        <v>13657.800000000001</v>
      </c>
      <c r="AE136" s="75">
        <v>7000</v>
      </c>
      <c r="AF136" s="32"/>
      <c r="AG136" s="33"/>
      <c r="AH136" s="33"/>
      <c r="AI136" s="33"/>
      <c r="AJ136" s="5"/>
    </row>
    <row r="137" spans="1:36" s="89" customFormat="1" x14ac:dyDescent="0.3">
      <c r="A137" s="90" t="s">
        <v>216</v>
      </c>
      <c r="B137" s="78" t="s">
        <v>43</v>
      </c>
      <c r="C137" s="78" t="s">
        <v>42</v>
      </c>
      <c r="D137" s="79"/>
      <c r="E137" s="80">
        <f t="shared" si="16"/>
        <v>16261.7</v>
      </c>
      <c r="F137" s="80"/>
      <c r="G137" s="80">
        <v>29484</v>
      </c>
      <c r="H137" s="80">
        <v>25018</v>
      </c>
      <c r="I137" s="80">
        <v>11983</v>
      </c>
      <c r="J137" s="80">
        <v>7336</v>
      </c>
      <c r="K137" s="80">
        <v>0</v>
      </c>
      <c r="L137" s="80"/>
      <c r="M137" s="81">
        <f t="shared" si="17"/>
        <v>25018</v>
      </c>
      <c r="N137" s="81">
        <f t="shared" si="18"/>
        <v>12716.6</v>
      </c>
      <c r="O137" s="81">
        <f>SUM(M137*'Factors &amp; Percentages'!$E$6+N137*'Factors &amp; Percentages'!$E$7)</f>
        <v>2761.4395609546759</v>
      </c>
      <c r="P137" s="82">
        <v>0.33</v>
      </c>
      <c r="Q137" s="81">
        <f>P137*'Factors &amp; Percentages'!$E$10</f>
        <v>3618.6400110856853</v>
      </c>
      <c r="R137" s="83">
        <v>3106</v>
      </c>
      <c r="S137" s="81">
        <f>R137*'Factors &amp; Percentages'!$E$13</f>
        <v>5515.2637041052612</v>
      </c>
      <c r="T137" s="84">
        <v>28</v>
      </c>
      <c r="U137" s="84">
        <v>64</v>
      </c>
      <c r="V137" s="84">
        <v>4811</v>
      </c>
      <c r="W137" s="81">
        <f>T137*'Factors &amp; Percentages'!$E$16+U137*'Factors &amp; Percentages'!$E$17+V137*'Factors &amp; Percentages'!$E$18</f>
        <v>5188.9395883047891</v>
      </c>
      <c r="X137" s="113"/>
      <c r="Y137" s="81">
        <f t="shared" si="19"/>
        <v>17084.282864450412</v>
      </c>
      <c r="Z137" s="85">
        <f t="shared" si="20"/>
        <v>16261.7</v>
      </c>
      <c r="AA137" s="80">
        <f>IF($AE137&gt;$Z137,$AE137*(1+'Factors &amp; Percentages'!$B$3),IF($Y137&gt;$Z137,$Z137,IF($Y137&gt;$AE137,$Y137,$AE137*(1+'Factors &amp; Percentages'!$B$3))))</f>
        <v>16261.7</v>
      </c>
      <c r="AB137" s="80">
        <f t="shared" si="21"/>
        <v>16261.7</v>
      </c>
      <c r="AC137" s="85"/>
      <c r="AD137" s="80">
        <f t="shared" si="22"/>
        <v>16261.7</v>
      </c>
      <c r="AE137" s="86">
        <v>15000</v>
      </c>
      <c r="AF137" s="87"/>
      <c r="AG137" s="88"/>
      <c r="AH137" s="88"/>
      <c r="AI137" s="88"/>
      <c r="AJ137" s="5"/>
    </row>
    <row r="138" spans="1:36" x14ac:dyDescent="0.3">
      <c r="A138" s="91" t="s">
        <v>231</v>
      </c>
      <c r="B138" s="76" t="s">
        <v>75</v>
      </c>
      <c r="C138" s="76" t="s">
        <v>75</v>
      </c>
      <c r="D138" s="31"/>
      <c r="E138" s="43">
        <f>Y138-14000</f>
        <v>23976.175987032446</v>
      </c>
      <c r="F138" s="29"/>
      <c r="G138" s="51">
        <v>43221</v>
      </c>
      <c r="H138" s="59">
        <v>49156</v>
      </c>
      <c r="I138" s="51">
        <v>25897</v>
      </c>
      <c r="J138" s="59">
        <v>20023</v>
      </c>
      <c r="K138" s="49">
        <v>14338</v>
      </c>
      <c r="L138" s="29"/>
      <c r="M138" s="62">
        <f t="shared" si="17"/>
        <v>50589.8</v>
      </c>
      <c r="N138" s="58">
        <f t="shared" si="18"/>
        <v>27899.3</v>
      </c>
      <c r="O138" s="46">
        <f>SUM(M138*'Factors &amp; Percentages'!$E$6+N138*'Factors &amp; Percentages'!$E$7)</f>
        <v>5711.9172491158515</v>
      </c>
      <c r="P138" s="65">
        <v>0.5</v>
      </c>
      <c r="Q138" s="46">
        <f>P138*'Factors &amp; Percentages'!$E$10</f>
        <v>5482.7878955843717</v>
      </c>
      <c r="R138" s="69">
        <v>10642</v>
      </c>
      <c r="S138" s="46">
        <f>R138*'Factors &amp; Percentages'!$E$13</f>
        <v>18896.792124625947</v>
      </c>
      <c r="T138" s="63">
        <v>45</v>
      </c>
      <c r="U138" s="64">
        <v>67</v>
      </c>
      <c r="V138" s="63">
        <v>8820</v>
      </c>
      <c r="W138" s="46">
        <f>T138*'Factors &amp; Percentages'!$E$16+U138*'Factors &amp; Percentages'!$E$17+V138*'Factors &amp; Percentages'!$E$18</f>
        <v>7884.6787177062797</v>
      </c>
      <c r="X138" s="114"/>
      <c r="Y138" s="58">
        <f t="shared" si="19"/>
        <v>37976.175987032446</v>
      </c>
      <c r="Z138" s="71">
        <f t="shared" si="20"/>
        <v>31951.4</v>
      </c>
      <c r="AA138" s="51">
        <f>IF($AE138&gt;$Z138,$AE138*(1+'Factors &amp; Percentages'!$B$3),IF($Y138&gt;$Z138,$Z138,IF($Y138&gt;$AE138,$Y138,$AE138*(1+'Factors &amp; Percentages'!$B$3))))</f>
        <v>31951.4</v>
      </c>
      <c r="AB138" s="59">
        <f t="shared" si="21"/>
        <v>31951.4</v>
      </c>
      <c r="AC138" s="42"/>
      <c r="AD138" s="43">
        <f t="shared" si="22"/>
        <v>31951.4</v>
      </c>
      <c r="AE138" s="75">
        <v>22841</v>
      </c>
      <c r="AF138" s="32"/>
      <c r="AG138" s="33"/>
      <c r="AH138" s="33"/>
      <c r="AI138" s="33"/>
      <c r="AJ138" s="5"/>
    </row>
    <row r="139" spans="1:36" s="89" customFormat="1" x14ac:dyDescent="0.3">
      <c r="A139" s="90" t="s">
        <v>209</v>
      </c>
      <c r="B139" s="78" t="s">
        <v>43</v>
      </c>
      <c r="C139" s="78" t="s">
        <v>201</v>
      </c>
      <c r="D139" s="79"/>
      <c r="E139" s="80">
        <f t="shared" ref="E139:E170" si="23">+AB139</f>
        <v>39737.720439311088</v>
      </c>
      <c r="F139" s="80"/>
      <c r="G139" s="80">
        <f>42402-1575</f>
        <v>40827</v>
      </c>
      <c r="H139" s="80">
        <v>36361</v>
      </c>
      <c r="I139" s="80">
        <v>88426</v>
      </c>
      <c r="J139" s="80">
        <v>34</v>
      </c>
      <c r="K139" s="80">
        <v>13998</v>
      </c>
      <c r="L139" s="80"/>
      <c r="M139" s="81">
        <f t="shared" si="17"/>
        <v>37760.800000000003</v>
      </c>
      <c r="N139" s="81">
        <f t="shared" si="18"/>
        <v>88429.4</v>
      </c>
      <c r="O139" s="81">
        <f>SUM(M139*'Factors &amp; Percentages'!$E$6+N139*'Factors &amp; Percentages'!$E$7)</f>
        <v>8221.7812375683643</v>
      </c>
      <c r="P139" s="82">
        <v>2</v>
      </c>
      <c r="Q139" s="81">
        <f>P139*'Factors &amp; Percentages'!$E$10</f>
        <v>21931.151582337487</v>
      </c>
      <c r="R139" s="83">
        <v>384</v>
      </c>
      <c r="S139" s="81">
        <f>R139*'Factors &amp; Percentages'!$E$13</f>
        <v>681.86132079086292</v>
      </c>
      <c r="T139" s="84">
        <v>17</v>
      </c>
      <c r="U139" s="84">
        <v>69</v>
      </c>
      <c r="V139" s="84">
        <v>32980</v>
      </c>
      <c r="W139" s="81">
        <f>T139*'Factors &amp; Percentages'!$E$16+U139*'Factors &amp; Percentages'!$E$17+V139*'Factors &amp; Percentages'!$E$18</f>
        <v>8902.9262986143749</v>
      </c>
      <c r="X139" s="113"/>
      <c r="Y139" s="81">
        <f t="shared" si="19"/>
        <v>39737.720439311088</v>
      </c>
      <c r="Z139" s="85">
        <f t="shared" si="20"/>
        <v>39737.720439311088</v>
      </c>
      <c r="AA139" s="80">
        <f>IF($AE139&gt;$Z139,$AE139*(1+'Factors &amp; Percentages'!$B$3),IF($Y139&gt;$Z139,$Z139,IF($Y139&gt;$AE139,$Y139,$AE139*(1+'Factors &amp; Percentages'!$B$3))))</f>
        <v>39737.720439311088</v>
      </c>
      <c r="AB139" s="80">
        <f t="shared" si="21"/>
        <v>39737.720439311088</v>
      </c>
      <c r="AC139" s="85"/>
      <c r="AD139" s="80">
        <f t="shared" si="22"/>
        <v>39737.720439311088</v>
      </c>
      <c r="AE139" s="86">
        <v>22500</v>
      </c>
      <c r="AF139" s="87"/>
      <c r="AG139" s="88"/>
      <c r="AH139" s="88"/>
      <c r="AI139" s="88"/>
      <c r="AJ139" s="5"/>
    </row>
    <row r="140" spans="1:36" x14ac:dyDescent="0.3">
      <c r="A140" s="91" t="s">
        <v>190</v>
      </c>
      <c r="B140" s="76" t="s">
        <v>8</v>
      </c>
      <c r="C140" s="76" t="s">
        <v>185</v>
      </c>
      <c r="D140" s="31"/>
      <c r="E140" s="43">
        <f t="shared" si="23"/>
        <v>57750</v>
      </c>
      <c r="F140" s="29"/>
      <c r="G140" s="51">
        <f>110550-2500-4638</f>
        <v>103412</v>
      </c>
      <c r="H140" s="59">
        <v>71317</v>
      </c>
      <c r="I140" s="51">
        <v>47335</v>
      </c>
      <c r="J140" s="59">
        <v>22319</v>
      </c>
      <c r="K140" s="49">
        <v>19200</v>
      </c>
      <c r="L140" s="29"/>
      <c r="M140" s="62">
        <f t="shared" si="17"/>
        <v>73237</v>
      </c>
      <c r="N140" s="58">
        <f t="shared" si="18"/>
        <v>49566.9</v>
      </c>
      <c r="O140" s="46">
        <f>SUM(M140*'Factors &amp; Percentages'!$E$6+N140*'Factors &amp; Percentages'!$E$7)</f>
        <v>8806.3203750971552</v>
      </c>
      <c r="P140" s="65">
        <v>0.5</v>
      </c>
      <c r="Q140" s="46">
        <f>P140*'Factors &amp; Percentages'!$E$10</f>
        <v>5482.7878955843717</v>
      </c>
      <c r="R140" s="69">
        <v>6129</v>
      </c>
      <c r="S140" s="46">
        <f>R140*'Factors &amp; Percentages'!$E$13</f>
        <v>10883.145924810415</v>
      </c>
      <c r="T140" s="63">
        <v>60</v>
      </c>
      <c r="U140" s="64">
        <v>157</v>
      </c>
      <c r="V140" s="63">
        <v>10828</v>
      </c>
      <c r="W140" s="46">
        <f>T140*'Factors &amp; Percentages'!$E$16+U140*'Factors &amp; Percentages'!$E$17+V140*'Factors &amp; Percentages'!$E$18</f>
        <v>11565.360481641124</v>
      </c>
      <c r="X140" s="114"/>
      <c r="Y140" s="58">
        <f t="shared" si="19"/>
        <v>36737.614677133068</v>
      </c>
      <c r="Z140" s="71">
        <f t="shared" si="20"/>
        <v>36737.614677133068</v>
      </c>
      <c r="AA140" s="51">
        <f>IF($AE140&gt;$Z140,$AE140*(1+'Factors &amp; Percentages'!$B$3),IF($Y140&gt;$Z140,$Z140,IF($Y140&gt;$AE140,$Y140,$AE140*(1+'Factors &amp; Percentages'!$B$3))))</f>
        <v>57750</v>
      </c>
      <c r="AB140" s="59">
        <f t="shared" si="21"/>
        <v>57750</v>
      </c>
      <c r="AC140" s="42"/>
      <c r="AD140" s="43">
        <f t="shared" si="22"/>
        <v>57750</v>
      </c>
      <c r="AE140" s="75">
        <v>55000</v>
      </c>
      <c r="AF140" s="32"/>
      <c r="AG140" s="33"/>
      <c r="AH140" s="33"/>
      <c r="AI140" s="33"/>
      <c r="AJ140" s="5"/>
    </row>
    <row r="141" spans="1:36" s="89" customFormat="1" x14ac:dyDescent="0.3">
      <c r="A141" s="90" t="s">
        <v>191</v>
      </c>
      <c r="B141" s="78" t="s">
        <v>8</v>
      </c>
      <c r="C141" s="78" t="s">
        <v>185</v>
      </c>
      <c r="D141" s="79"/>
      <c r="E141" s="80">
        <f t="shared" si="23"/>
        <v>19822.95</v>
      </c>
      <c r="F141" s="80"/>
      <c r="G141" s="80">
        <f>34615-6802-5535</f>
        <v>22278</v>
      </c>
      <c r="H141" s="80">
        <v>32173</v>
      </c>
      <c r="I141" s="80">
        <v>21030</v>
      </c>
      <c r="J141" s="80">
        <v>54109</v>
      </c>
      <c r="K141" s="80">
        <v>2305</v>
      </c>
      <c r="L141" s="80"/>
      <c r="M141" s="81">
        <f t="shared" si="17"/>
        <v>32403.5</v>
      </c>
      <c r="N141" s="81">
        <f t="shared" si="18"/>
        <v>26440.9</v>
      </c>
      <c r="O141" s="81">
        <f>SUM(M141*'Factors &amp; Percentages'!$E$6+N141*'Factors &amp; Percentages'!$E$7)</f>
        <v>4160.4058411925271</v>
      </c>
      <c r="P141" s="82">
        <v>0.5</v>
      </c>
      <c r="Q141" s="81">
        <f>P141*'Factors &amp; Percentages'!$E$10</f>
        <v>5482.7878955843717</v>
      </c>
      <c r="R141" s="83">
        <v>493</v>
      </c>
      <c r="S141" s="81">
        <f>R141*'Factors &amp; Percentages'!$E$13</f>
        <v>875.41049778618606</v>
      </c>
      <c r="T141" s="84">
        <v>32</v>
      </c>
      <c r="U141" s="84">
        <v>49</v>
      </c>
      <c r="V141" s="84">
        <v>9830</v>
      </c>
      <c r="W141" s="81">
        <f>T141*'Factors &amp; Percentages'!$E$16+U141*'Factors &amp; Percentages'!$E$17+V141*'Factors &amp; Percentages'!$E$18</f>
        <v>6248.0957048626678</v>
      </c>
      <c r="X141" s="113"/>
      <c r="Y141" s="81">
        <f t="shared" si="19"/>
        <v>16766.699939425751</v>
      </c>
      <c r="Z141" s="85">
        <f t="shared" si="20"/>
        <v>16766.699939425751</v>
      </c>
      <c r="AA141" s="80">
        <f>IF($AE141&gt;$Z141,$AE141*(1+'Factors &amp; Percentages'!$B$3),IF($Y141&gt;$Z141,$Z141,IF($Y141&gt;$AE141,$Y141,$AE141*(1+'Factors &amp; Percentages'!$B$3))))</f>
        <v>19822.95</v>
      </c>
      <c r="AB141" s="80">
        <f t="shared" si="21"/>
        <v>19822.95</v>
      </c>
      <c r="AC141" s="85"/>
      <c r="AD141" s="80">
        <f t="shared" si="22"/>
        <v>19822.95</v>
      </c>
      <c r="AE141" s="86">
        <v>18879</v>
      </c>
      <c r="AF141" s="87"/>
      <c r="AG141" s="88"/>
      <c r="AH141" s="88"/>
      <c r="AI141" s="88"/>
      <c r="AJ141" s="5"/>
    </row>
    <row r="142" spans="1:36" x14ac:dyDescent="0.3">
      <c r="A142" s="91" t="s">
        <v>142</v>
      </c>
      <c r="B142" s="76" t="s">
        <v>8</v>
      </c>
      <c r="C142" s="76" t="s">
        <v>132</v>
      </c>
      <c r="D142" s="31"/>
      <c r="E142" s="43">
        <f t="shared" si="23"/>
        <v>24996.886783492901</v>
      </c>
      <c r="F142" s="29"/>
      <c r="G142" s="51">
        <v>27060</v>
      </c>
      <c r="H142" s="59">
        <v>30241</v>
      </c>
      <c r="I142" s="51">
        <v>36776</v>
      </c>
      <c r="J142" s="59">
        <v>29122</v>
      </c>
      <c r="K142" s="49">
        <v>6790</v>
      </c>
      <c r="L142" s="29"/>
      <c r="M142" s="62">
        <f t="shared" si="17"/>
        <v>30920</v>
      </c>
      <c r="N142" s="58">
        <f t="shared" si="18"/>
        <v>39688.199999999997</v>
      </c>
      <c r="O142" s="46">
        <f>SUM(M142*'Factors &amp; Percentages'!$E$6+N142*'Factors &amp; Percentages'!$E$7)</f>
        <v>4816.4532214890205</v>
      </c>
      <c r="P142" s="65">
        <v>1</v>
      </c>
      <c r="Q142" s="46">
        <f>P142*'Factors &amp; Percentages'!$E$10</f>
        <v>10965.575791168743</v>
      </c>
      <c r="R142" s="69">
        <v>699</v>
      </c>
      <c r="S142" s="46">
        <f>R142*'Factors &amp; Percentages'!$E$13</f>
        <v>1241.2006855021177</v>
      </c>
      <c r="T142" s="63">
        <v>38</v>
      </c>
      <c r="U142" s="64">
        <v>56</v>
      </c>
      <c r="V142" s="63">
        <v>15095</v>
      </c>
      <c r="W142" s="46">
        <f>T142*'Factors &amp; Percentages'!$E$16+U142*'Factors &amp; Percentages'!$E$17+V142*'Factors &amp; Percentages'!$E$18</f>
        <v>7973.6570853330186</v>
      </c>
      <c r="X142" s="114"/>
      <c r="Y142" s="58">
        <f t="shared" si="19"/>
        <v>24996.886783492901</v>
      </c>
      <c r="Z142" s="71">
        <f t="shared" si="20"/>
        <v>24996.886783492901</v>
      </c>
      <c r="AA142" s="51">
        <f>IF($AE142&gt;$Z142,$AE142*(1+'Factors &amp; Percentages'!$B$3),IF($Y142&gt;$Z142,$Z142,IF($Y142&gt;$AE142,$Y142,$AE142*(1+'Factors &amp; Percentages'!$B$3))))</f>
        <v>24996.886783492901</v>
      </c>
      <c r="AB142" s="59">
        <f t="shared" si="21"/>
        <v>24996.886783492901</v>
      </c>
      <c r="AC142" s="42"/>
      <c r="AD142" s="43">
        <f t="shared" si="22"/>
        <v>24996.886783492901</v>
      </c>
      <c r="AE142" s="75">
        <v>17589</v>
      </c>
      <c r="AF142" s="32"/>
      <c r="AG142" s="33"/>
      <c r="AH142" s="33"/>
      <c r="AI142" s="33"/>
      <c r="AJ142" s="5"/>
    </row>
    <row r="143" spans="1:36" s="89" customFormat="1" x14ac:dyDescent="0.3">
      <c r="A143" s="90" t="s">
        <v>54</v>
      </c>
      <c r="B143" s="78" t="s">
        <v>43</v>
      </c>
      <c r="C143" s="78" t="s">
        <v>42</v>
      </c>
      <c r="D143" s="79"/>
      <c r="E143" s="80">
        <f t="shared" si="23"/>
        <v>24419.200000000001</v>
      </c>
      <c r="F143" s="80"/>
      <c r="G143" s="80">
        <f>115812-99943</f>
        <v>15869</v>
      </c>
      <c r="H143" s="80">
        <v>37568</v>
      </c>
      <c r="I143" s="80">
        <v>22046</v>
      </c>
      <c r="J143" s="80">
        <v>7692</v>
      </c>
      <c r="K143" s="80">
        <v>454</v>
      </c>
      <c r="L143" s="80"/>
      <c r="M143" s="81">
        <f t="shared" si="17"/>
        <v>37613.4</v>
      </c>
      <c r="N143" s="81">
        <f t="shared" si="18"/>
        <v>22815.200000000001</v>
      </c>
      <c r="O143" s="81">
        <f>SUM(M143*'Factors &amp; Percentages'!$E$6+N143*'Factors &amp; Percentages'!$E$7)</f>
        <v>4368.1228471205504</v>
      </c>
      <c r="P143" s="82">
        <v>1</v>
      </c>
      <c r="Q143" s="81">
        <f>P143*'Factors &amp; Percentages'!$E$10</f>
        <v>10965.575791168743</v>
      </c>
      <c r="R143" s="83">
        <v>2967</v>
      </c>
      <c r="S143" s="81">
        <f>R143*'Factors &amp; Percentages'!$E$13</f>
        <v>5268.4441114231522</v>
      </c>
      <c r="T143" s="84">
        <v>38</v>
      </c>
      <c r="U143" s="84">
        <v>48</v>
      </c>
      <c r="V143" s="84">
        <v>11681</v>
      </c>
      <c r="W143" s="81">
        <f>T143*'Factors &amp; Percentages'!$E$16+U143*'Factors &amp; Percentages'!$E$17+V143*'Factors &amp; Percentages'!$E$18</f>
        <v>7238.1991247866572</v>
      </c>
      <c r="X143" s="113"/>
      <c r="Y143" s="81">
        <f t="shared" si="19"/>
        <v>27840.341874499103</v>
      </c>
      <c r="Z143" s="85">
        <f t="shared" si="20"/>
        <v>24419.200000000001</v>
      </c>
      <c r="AA143" s="80">
        <f>IF($AE143&gt;$Z143,$AE143*(1+'Factors &amp; Percentages'!$B$3),IF($Y143&gt;$Z143,$Z143,IF($Y143&gt;$AE143,$Y143,$AE143*(1+'Factors &amp; Percentages'!$B$3))))</f>
        <v>24419.200000000001</v>
      </c>
      <c r="AB143" s="80">
        <f t="shared" si="21"/>
        <v>24419.200000000001</v>
      </c>
      <c r="AC143" s="85"/>
      <c r="AD143" s="80">
        <f t="shared" si="22"/>
        <v>24419.200000000001</v>
      </c>
      <c r="AE143" s="86">
        <v>7700</v>
      </c>
      <c r="AF143" s="87"/>
      <c r="AG143" s="88"/>
      <c r="AH143" s="88"/>
      <c r="AI143" s="88"/>
      <c r="AJ143" s="5"/>
    </row>
    <row r="144" spans="1:36" x14ac:dyDescent="0.3">
      <c r="A144" s="91" t="s">
        <v>217</v>
      </c>
      <c r="B144" s="76" t="s">
        <v>43</v>
      </c>
      <c r="C144" s="76" t="s">
        <v>42</v>
      </c>
      <c r="D144" s="31"/>
      <c r="E144" s="43">
        <f t="shared" si="23"/>
        <v>25902.45</v>
      </c>
      <c r="F144" s="29"/>
      <c r="G144" s="51">
        <v>54453</v>
      </c>
      <c r="H144" s="59">
        <v>36615</v>
      </c>
      <c r="I144" s="51">
        <v>58558</v>
      </c>
      <c r="J144" s="59">
        <v>3907</v>
      </c>
      <c r="K144" s="49">
        <v>290</v>
      </c>
      <c r="L144" s="29"/>
      <c r="M144" s="62">
        <f t="shared" si="17"/>
        <v>36644</v>
      </c>
      <c r="N144" s="58">
        <f t="shared" si="18"/>
        <v>58948.7</v>
      </c>
      <c r="O144" s="46">
        <f>SUM(M144*'Factors &amp; Percentages'!$E$6+N144*'Factors &amp; Percentages'!$E$7)</f>
        <v>6405.6246633979426</v>
      </c>
      <c r="P144" s="65">
        <v>0.5</v>
      </c>
      <c r="Q144" s="46">
        <f>P144*'Factors &amp; Percentages'!$E$10</f>
        <v>5482.7878955843717</v>
      </c>
      <c r="R144" s="69">
        <v>3239</v>
      </c>
      <c r="S144" s="46">
        <f>R144*'Factors &amp; Percentages'!$E$13</f>
        <v>5751.4292136500135</v>
      </c>
      <c r="T144" s="63">
        <v>25</v>
      </c>
      <c r="U144" s="64">
        <v>66</v>
      </c>
      <c r="V144" s="63">
        <v>10967</v>
      </c>
      <c r="W144" s="46">
        <f>T144*'Factors &amp; Percentages'!$E$16+U144*'Factors &amp; Percentages'!$E$17+V144*'Factors &amp; Percentages'!$E$18</f>
        <v>5948.6030765107171</v>
      </c>
      <c r="X144" s="114"/>
      <c r="Y144" s="58">
        <f t="shared" si="19"/>
        <v>23588.444849143045</v>
      </c>
      <c r="Z144" s="71">
        <f t="shared" si="20"/>
        <v>23588.444849143045</v>
      </c>
      <c r="AA144" s="51">
        <f>IF($AE144&gt;$Z144,$AE144*(1+'Factors &amp; Percentages'!$B$3),IF($Y144&gt;$Z144,$Z144,IF($Y144&gt;$AE144,$Y144,$AE144*(1+'Factors &amp; Percentages'!$B$3))))</f>
        <v>25902.45</v>
      </c>
      <c r="AB144" s="59">
        <f t="shared" si="21"/>
        <v>25902.45</v>
      </c>
      <c r="AC144" s="42"/>
      <c r="AD144" s="43">
        <f t="shared" si="22"/>
        <v>25902.45</v>
      </c>
      <c r="AE144" s="75">
        <v>24669</v>
      </c>
      <c r="AF144" s="32"/>
      <c r="AG144" s="33"/>
      <c r="AH144" s="33"/>
      <c r="AI144" s="33"/>
      <c r="AJ144" s="5"/>
    </row>
    <row r="145" spans="1:36" s="89" customFormat="1" x14ac:dyDescent="0.3">
      <c r="A145" s="90" t="s">
        <v>106</v>
      </c>
      <c r="B145" s="78" t="s">
        <v>43</v>
      </c>
      <c r="C145" s="78" t="s">
        <v>99</v>
      </c>
      <c r="D145" s="79"/>
      <c r="E145" s="80">
        <f t="shared" si="23"/>
        <v>40950</v>
      </c>
      <c r="F145" s="80"/>
      <c r="G145" s="80">
        <v>59030</v>
      </c>
      <c r="H145" s="80">
        <v>64093</v>
      </c>
      <c r="I145" s="80">
        <v>29247</v>
      </c>
      <c r="J145" s="80">
        <v>13432</v>
      </c>
      <c r="K145" s="80">
        <v>10136</v>
      </c>
      <c r="L145" s="80"/>
      <c r="M145" s="81">
        <f t="shared" si="17"/>
        <v>65106.6</v>
      </c>
      <c r="N145" s="81">
        <f t="shared" si="18"/>
        <v>30590.2</v>
      </c>
      <c r="O145" s="81">
        <f>SUM(M145*'Factors &amp; Percentages'!$E$6+N145*'Factors &amp; Percentages'!$E$7)</f>
        <v>7039.7695182620182</v>
      </c>
      <c r="P145" s="82">
        <v>1.015625</v>
      </c>
      <c r="Q145" s="81">
        <f>P145*'Factors &amp; Percentages'!$E$10</f>
        <v>11136.912912905755</v>
      </c>
      <c r="R145" s="83">
        <v>521</v>
      </c>
      <c r="S145" s="81">
        <f>R145*'Factors &amp; Percentages'!$E$13</f>
        <v>925.12955242718647</v>
      </c>
      <c r="T145" s="84">
        <v>38</v>
      </c>
      <c r="U145" s="84">
        <v>96</v>
      </c>
      <c r="V145" s="84">
        <v>19994</v>
      </c>
      <c r="W145" s="81">
        <f>T145*'Factors &amp; Percentages'!$E$16+U145*'Factors &amp; Percentages'!$E$17+V145*'Factors &amp; Percentages'!$E$18</f>
        <v>9540.7176831493452</v>
      </c>
      <c r="X145" s="113"/>
      <c r="Y145" s="81">
        <f t="shared" si="19"/>
        <v>28642.529666744307</v>
      </c>
      <c r="Z145" s="85">
        <f t="shared" si="20"/>
        <v>28642.529666744307</v>
      </c>
      <c r="AA145" s="80">
        <f>IF($AE145&gt;$Z145,$AE145*(1+'Factors &amp; Percentages'!$B$3),IF($Y145&gt;$Z145,$Z145,IF($Y145&gt;$AE145,$Y145,$AE145*(1+'Factors &amp; Percentages'!$B$3))))</f>
        <v>40950</v>
      </c>
      <c r="AB145" s="80">
        <f t="shared" si="21"/>
        <v>40950</v>
      </c>
      <c r="AC145" s="85"/>
      <c r="AD145" s="80">
        <f t="shared" si="22"/>
        <v>40950</v>
      </c>
      <c r="AE145" s="86">
        <v>39000</v>
      </c>
      <c r="AF145" s="87"/>
      <c r="AG145" s="88"/>
      <c r="AH145" s="88"/>
      <c r="AI145" s="88"/>
      <c r="AJ145" s="5"/>
    </row>
    <row r="146" spans="1:36" x14ac:dyDescent="0.3">
      <c r="A146" s="91" t="s">
        <v>92</v>
      </c>
      <c r="B146" s="76" t="s">
        <v>75</v>
      </c>
      <c r="C146" s="76" t="s">
        <v>75</v>
      </c>
      <c r="D146" s="31"/>
      <c r="E146" s="43">
        <f t="shared" si="23"/>
        <v>27286.508907074898</v>
      </c>
      <c r="F146" s="29"/>
      <c r="G146" s="51">
        <f>28136-1202</f>
        <v>26934</v>
      </c>
      <c r="H146" s="59">
        <v>28376</v>
      </c>
      <c r="I146" s="51">
        <v>38977</v>
      </c>
      <c r="J146" s="59">
        <v>20333</v>
      </c>
      <c r="K146" s="49">
        <v>2173</v>
      </c>
      <c r="L146" s="29"/>
      <c r="M146" s="62">
        <f t="shared" si="17"/>
        <v>28593.3</v>
      </c>
      <c r="N146" s="58">
        <f t="shared" si="18"/>
        <v>41010.300000000003</v>
      </c>
      <c r="O146" s="46">
        <f>SUM(M146*'Factors &amp; Percentages'!$E$6+N146*'Factors &amp; Percentages'!$E$7)</f>
        <v>4706.2924415458683</v>
      </c>
      <c r="P146" s="65">
        <v>0.5</v>
      </c>
      <c r="Q146" s="46">
        <f>P146*'Factors &amp; Percentages'!$E$10</f>
        <v>5482.7878955843717</v>
      </c>
      <c r="R146" s="69">
        <v>8085</v>
      </c>
      <c r="S146" s="46">
        <f>R146*'Factors &amp; Percentages'!$E$13</f>
        <v>14356.377027588873</v>
      </c>
      <c r="T146" s="63">
        <v>16</v>
      </c>
      <c r="U146" s="64">
        <v>36</v>
      </c>
      <c r="V146" s="63">
        <v>1516</v>
      </c>
      <c r="W146" s="46">
        <f>T146*'Factors &amp; Percentages'!$E$16+U146*'Factors &amp; Percentages'!$E$17+V146*'Factors &amp; Percentages'!$E$18</f>
        <v>2741.0515423557845</v>
      </c>
      <c r="X146" s="114"/>
      <c r="Y146" s="58">
        <f t="shared" si="19"/>
        <v>27286.508907074898</v>
      </c>
      <c r="Z146" s="71">
        <f t="shared" si="20"/>
        <v>27286.508907074898</v>
      </c>
      <c r="AA146" s="51">
        <f>IF($AE146&gt;$Z146,$AE146*(1+'Factors &amp; Percentages'!$B$3),IF($Y146&gt;$Z146,$Z146,IF($Y146&gt;$AE146,$Y146,$AE146*(1+'Factors &amp; Percentages'!$B$3))))</f>
        <v>27286.508907074898</v>
      </c>
      <c r="AB146" s="59">
        <f t="shared" si="21"/>
        <v>27286.508907074898</v>
      </c>
      <c r="AC146" s="42"/>
      <c r="AD146" s="43">
        <f t="shared" si="22"/>
        <v>27286.508907074898</v>
      </c>
      <c r="AE146" s="75">
        <v>15000</v>
      </c>
      <c r="AF146" s="32"/>
      <c r="AG146" s="33"/>
      <c r="AH146" s="33"/>
      <c r="AI146" s="33"/>
      <c r="AJ146" s="5"/>
    </row>
    <row r="147" spans="1:36" s="89" customFormat="1" x14ac:dyDescent="0.3">
      <c r="A147" s="90" t="s">
        <v>192</v>
      </c>
      <c r="B147" s="78" t="s">
        <v>8</v>
      </c>
      <c r="C147" s="78" t="s">
        <v>185</v>
      </c>
      <c r="D147" s="79"/>
      <c r="E147" s="80">
        <f t="shared" si="23"/>
        <v>117526.5</v>
      </c>
      <c r="F147" s="80"/>
      <c r="G147" s="80">
        <f>238475-6004</f>
        <v>232471</v>
      </c>
      <c r="H147" s="80">
        <v>264006</v>
      </c>
      <c r="I147" s="80">
        <v>50333</v>
      </c>
      <c r="J147" s="80">
        <v>8800</v>
      </c>
      <c r="K147" s="80">
        <v>17764</v>
      </c>
      <c r="L147" s="80"/>
      <c r="M147" s="81">
        <f t="shared" si="17"/>
        <v>265782.40000000002</v>
      </c>
      <c r="N147" s="81">
        <f t="shared" si="18"/>
        <v>51213</v>
      </c>
      <c r="O147" s="81">
        <f>SUM(M147*'Factors &amp; Percentages'!$E$6+N147*'Factors &amp; Percentages'!$E$7)</f>
        <v>24425.088300923187</v>
      </c>
      <c r="P147" s="82">
        <v>0.9</v>
      </c>
      <c r="Q147" s="81">
        <f>P147*'Factors &amp; Percentages'!$E$10</f>
        <v>9869.0182120518693</v>
      </c>
      <c r="R147" s="83">
        <v>9315</v>
      </c>
      <c r="S147" s="81">
        <f>R147*'Factors &amp; Percentages'!$E$13</f>
        <v>16540.464070747104</v>
      </c>
      <c r="T147" s="84">
        <v>131</v>
      </c>
      <c r="U147" s="84">
        <v>220</v>
      </c>
      <c r="V147" s="84">
        <v>3045</v>
      </c>
      <c r="W147" s="81">
        <f>T147*'Factors &amp; Percentages'!$E$16+U147*'Factors &amp; Percentages'!$E$17+V147*'Factors &amp; Percentages'!$E$18</f>
        <v>19477.11581936344</v>
      </c>
      <c r="X147" s="113"/>
      <c r="Y147" s="81">
        <f t="shared" si="19"/>
        <v>70311.686403085594</v>
      </c>
      <c r="Z147" s="85">
        <f t="shared" si="20"/>
        <v>70311.686403085594</v>
      </c>
      <c r="AA147" s="80">
        <f>IF($AE147&gt;$Z147,$AE147*(1+'Factors &amp; Percentages'!$B$3),IF($Y147&gt;$Z147,$Z147,IF($Y147&gt;$AE147,$Y147,$AE147*(1+'Factors &amp; Percentages'!$B$3))))</f>
        <v>117526.5</v>
      </c>
      <c r="AB147" s="80">
        <f t="shared" si="21"/>
        <v>117526.5</v>
      </c>
      <c r="AC147" s="85"/>
      <c r="AD147" s="80">
        <f t="shared" si="22"/>
        <v>117526.5</v>
      </c>
      <c r="AE147" s="86">
        <v>111930</v>
      </c>
      <c r="AF147" s="87"/>
      <c r="AG147" s="88"/>
      <c r="AH147" s="88"/>
      <c r="AI147" s="88"/>
      <c r="AJ147" s="5"/>
    </row>
    <row r="148" spans="1:36" x14ac:dyDescent="0.3">
      <c r="A148" s="91" t="s">
        <v>157</v>
      </c>
      <c r="B148" s="76" t="s">
        <v>43</v>
      </c>
      <c r="C148" s="76" t="s">
        <v>145</v>
      </c>
      <c r="D148" s="31"/>
      <c r="E148" s="43">
        <f t="shared" si="23"/>
        <v>13011.049269970847</v>
      </c>
      <c r="F148" s="29"/>
      <c r="G148" s="51">
        <v>11197</v>
      </c>
      <c r="H148" s="59">
        <v>11197</v>
      </c>
      <c r="I148" s="51">
        <v>39041</v>
      </c>
      <c r="J148" s="59">
        <v>3477</v>
      </c>
      <c r="K148" s="49">
        <v>156</v>
      </c>
      <c r="L148" s="29"/>
      <c r="M148" s="62">
        <f t="shared" si="17"/>
        <v>11212.6</v>
      </c>
      <c r="N148" s="58">
        <f t="shared" si="18"/>
        <v>39388.699999999997</v>
      </c>
      <c r="O148" s="46">
        <f>SUM(M148*'Factors &amp; Percentages'!$E$6+N148*'Factors &amp; Percentages'!$E$7)</f>
        <v>3210.170379729946</v>
      </c>
      <c r="P148" s="65">
        <v>0.5</v>
      </c>
      <c r="Q148" s="46">
        <f>P148*'Factors &amp; Percentages'!$E$10</f>
        <v>5482.7878955843717</v>
      </c>
      <c r="R148" s="69">
        <v>220</v>
      </c>
      <c r="S148" s="46">
        <f>R148*'Factors &amp; Percentages'!$E$13</f>
        <v>390.64971503643187</v>
      </c>
      <c r="T148" s="63">
        <v>18</v>
      </c>
      <c r="U148" s="64">
        <v>29</v>
      </c>
      <c r="V148" s="63">
        <v>7762</v>
      </c>
      <c r="W148" s="46">
        <f>T148*'Factors &amp; Percentages'!$E$16+U148*'Factors &amp; Percentages'!$E$17+V148*'Factors &amp; Percentages'!$E$18</f>
        <v>3927.4412796200959</v>
      </c>
      <c r="X148" s="114"/>
      <c r="Y148" s="58">
        <f t="shared" si="19"/>
        <v>13011.049269970847</v>
      </c>
      <c r="Z148" s="71">
        <f t="shared" si="20"/>
        <v>13011.049269970847</v>
      </c>
      <c r="AA148" s="51">
        <f>IF($AE148&gt;$Z148,$AE148*(1+'Factors &amp; Percentages'!$B$3),IF($Y148&gt;$Z148,$Z148,IF($Y148&gt;$AE148,$Y148,$AE148*(1+'Factors &amp; Percentages'!$B$3))))</f>
        <v>13011.049269970847</v>
      </c>
      <c r="AB148" s="59">
        <f t="shared" si="21"/>
        <v>13011.049269970847</v>
      </c>
      <c r="AC148" s="42"/>
      <c r="AD148" s="43">
        <f t="shared" si="22"/>
        <v>13011.049269970847</v>
      </c>
      <c r="AE148" s="75">
        <v>0</v>
      </c>
      <c r="AF148" s="32"/>
      <c r="AG148" s="33"/>
      <c r="AH148" s="33"/>
      <c r="AI148" s="33"/>
      <c r="AJ148" s="5"/>
    </row>
    <row r="149" spans="1:36" s="89" customFormat="1" x14ac:dyDescent="0.3">
      <c r="A149" s="90" t="s">
        <v>210</v>
      </c>
      <c r="B149" s="78" t="s">
        <v>43</v>
      </c>
      <c r="C149" s="78" t="s">
        <v>201</v>
      </c>
      <c r="D149" s="79"/>
      <c r="E149" s="80">
        <f t="shared" si="23"/>
        <v>29363.322270840068</v>
      </c>
      <c r="F149" s="80"/>
      <c r="G149" s="80">
        <f>47114-950</f>
        <v>46164</v>
      </c>
      <c r="H149" s="80">
        <v>57384</v>
      </c>
      <c r="I149" s="80">
        <v>38416</v>
      </c>
      <c r="J149" s="80">
        <v>37937</v>
      </c>
      <c r="K149" s="80">
        <v>4544</v>
      </c>
      <c r="L149" s="80"/>
      <c r="M149" s="81">
        <f t="shared" si="17"/>
        <v>57838.400000000001</v>
      </c>
      <c r="N149" s="81">
        <f t="shared" si="18"/>
        <v>42209.7</v>
      </c>
      <c r="O149" s="81">
        <f>SUM(M149*'Factors &amp; Percentages'!$E$6+N149*'Factors &amp; Percentages'!$E$7)</f>
        <v>7134.1638215971288</v>
      </c>
      <c r="P149" s="82">
        <v>1</v>
      </c>
      <c r="Q149" s="81">
        <f>P149*'Factors &amp; Percentages'!$E$10</f>
        <v>10965.575791168743</v>
      </c>
      <c r="R149" s="83">
        <v>1779</v>
      </c>
      <c r="S149" s="81">
        <f>R149*'Factors &amp; Percentages'!$E$13</f>
        <v>3158.93565022642</v>
      </c>
      <c r="T149" s="84">
        <v>42</v>
      </c>
      <c r="U149" s="84">
        <v>82</v>
      </c>
      <c r="V149" s="84">
        <v>10518</v>
      </c>
      <c r="W149" s="81">
        <f>T149*'Factors &amp; Percentages'!$E$16+U149*'Factors &amp; Percentages'!$E$17+V149*'Factors &amp; Percentages'!$E$18</f>
        <v>8104.647007847776</v>
      </c>
      <c r="X149" s="113"/>
      <c r="Y149" s="81">
        <f t="shared" si="19"/>
        <v>29363.322270840068</v>
      </c>
      <c r="Z149" s="85">
        <f t="shared" si="20"/>
        <v>29363.322270840068</v>
      </c>
      <c r="AA149" s="80">
        <f>IF($AE149&gt;$Z149,$AE149*(1+'Factors &amp; Percentages'!$B$3),IF($Y149&gt;$Z149,$Z149,IF($Y149&gt;$AE149,$Y149,$AE149*(1+'Factors &amp; Percentages'!$B$3))))</f>
        <v>29363.322270840068</v>
      </c>
      <c r="AB149" s="80">
        <f t="shared" si="21"/>
        <v>29363.322270840068</v>
      </c>
      <c r="AC149" s="85"/>
      <c r="AD149" s="80">
        <f t="shared" si="22"/>
        <v>29363.322270840068</v>
      </c>
      <c r="AE149" s="86">
        <v>25000</v>
      </c>
      <c r="AF149" s="87"/>
      <c r="AG149" s="88"/>
      <c r="AH149" s="88"/>
      <c r="AI149" s="88"/>
      <c r="AJ149" s="5"/>
    </row>
    <row r="150" spans="1:36" x14ac:dyDescent="0.3">
      <c r="A150" s="91" t="s">
        <v>129</v>
      </c>
      <c r="B150" s="76" t="s">
        <v>43</v>
      </c>
      <c r="C150" s="76" t="s">
        <v>123</v>
      </c>
      <c r="D150" s="31"/>
      <c r="E150" s="43">
        <f t="shared" si="23"/>
        <v>31559.20974967393</v>
      </c>
      <c r="F150" s="29"/>
      <c r="G150" s="51">
        <f>70276-9000-10572</f>
        <v>50704</v>
      </c>
      <c r="H150" s="59">
        <v>68407</v>
      </c>
      <c r="I150" s="51">
        <v>22467</v>
      </c>
      <c r="J150" s="59">
        <v>4788</v>
      </c>
      <c r="K150" s="49">
        <v>1933</v>
      </c>
      <c r="L150" s="29"/>
      <c r="M150" s="62">
        <f t="shared" si="17"/>
        <v>68600.3</v>
      </c>
      <c r="N150" s="58">
        <f t="shared" si="18"/>
        <v>22945.8</v>
      </c>
      <c r="O150" s="46">
        <f>SUM(M150*'Factors &amp; Percentages'!$E$6+N150*'Factors &amp; Percentages'!$E$7)</f>
        <v>6873.8332239069314</v>
      </c>
      <c r="P150" s="65">
        <v>0.5</v>
      </c>
      <c r="Q150" s="46">
        <f>P150*'Factors &amp; Percentages'!$E$10</f>
        <v>5482.7878955843717</v>
      </c>
      <c r="R150" s="69">
        <v>5312</v>
      </c>
      <c r="S150" s="46">
        <f>R150*'Factors &amp; Percentages'!$E$13</f>
        <v>9432.4149376069381</v>
      </c>
      <c r="T150" s="63">
        <v>50</v>
      </c>
      <c r="U150" s="64">
        <v>153</v>
      </c>
      <c r="V150" s="63">
        <v>7493</v>
      </c>
      <c r="W150" s="46">
        <f>T150*'Factors &amp; Percentages'!$E$16+U150*'Factors &amp; Percentages'!$E$17+V150*'Factors &amp; Percentages'!$E$18</f>
        <v>9770.1736925756904</v>
      </c>
      <c r="X150" s="114"/>
      <c r="Y150" s="58">
        <f t="shared" si="19"/>
        <v>31559.20974967393</v>
      </c>
      <c r="Z150" s="71">
        <f t="shared" si="20"/>
        <v>31559.20974967393</v>
      </c>
      <c r="AA150" s="51">
        <f>IF($AE150&gt;$Z150,$AE150*(1+'Factors &amp; Percentages'!$B$3),IF($Y150&gt;$Z150,$Z150,IF($Y150&gt;$AE150,$Y150,$AE150*(1+'Factors &amp; Percentages'!$B$3))))</f>
        <v>31559.20974967393</v>
      </c>
      <c r="AB150" s="59">
        <f t="shared" si="21"/>
        <v>31559.20974967393</v>
      </c>
      <c r="AC150" s="42"/>
      <c r="AD150" s="43">
        <f t="shared" si="22"/>
        <v>31559.20974967393</v>
      </c>
      <c r="AE150" s="75">
        <v>29400</v>
      </c>
      <c r="AF150" s="32"/>
      <c r="AG150" s="33"/>
      <c r="AH150" s="33"/>
      <c r="AI150" s="33"/>
      <c r="AJ150" s="5"/>
    </row>
    <row r="151" spans="1:36" s="89" customFormat="1" x14ac:dyDescent="0.3">
      <c r="A151" s="90" t="s">
        <v>73</v>
      </c>
      <c r="B151" s="78" t="s">
        <v>8</v>
      </c>
      <c r="C151" s="78" t="s">
        <v>59</v>
      </c>
      <c r="D151" s="79"/>
      <c r="E151" s="80">
        <f t="shared" si="23"/>
        <v>17785.600000000002</v>
      </c>
      <c r="F151" s="80"/>
      <c r="G151" s="80">
        <f>25976-1000</f>
        <v>24976</v>
      </c>
      <c r="H151" s="80">
        <v>29348</v>
      </c>
      <c r="I151" s="80">
        <v>19481</v>
      </c>
      <c r="J151" s="80">
        <v>3222</v>
      </c>
      <c r="K151" s="80">
        <v>42</v>
      </c>
      <c r="L151" s="80"/>
      <c r="M151" s="81">
        <f t="shared" si="17"/>
        <v>29352.2</v>
      </c>
      <c r="N151" s="81">
        <f t="shared" si="18"/>
        <v>19803.2</v>
      </c>
      <c r="O151" s="81">
        <f>SUM(M151*'Factors &amp; Percentages'!$E$6+N151*'Factors &amp; Percentages'!$E$7)</f>
        <v>3525.7760913147085</v>
      </c>
      <c r="P151" s="82">
        <v>0.1</v>
      </c>
      <c r="Q151" s="81">
        <f>P151*'Factors &amp; Percentages'!$E$10</f>
        <v>1096.5575791168744</v>
      </c>
      <c r="R151" s="83">
        <v>6196</v>
      </c>
      <c r="S151" s="81">
        <f>R151*'Factors &amp; Percentages'!$E$13</f>
        <v>11002.116519844236</v>
      </c>
      <c r="T151" s="84">
        <v>26</v>
      </c>
      <c r="U151" s="84">
        <v>44</v>
      </c>
      <c r="V151" s="84">
        <v>767</v>
      </c>
      <c r="W151" s="81">
        <f>T151*'Factors &amp; Percentages'!$E$16+U151*'Factors &amp; Percentages'!$E$17+V151*'Factors &amp; Percentages'!$E$18</f>
        <v>3899.9136328129953</v>
      </c>
      <c r="X151" s="113"/>
      <c r="Y151" s="81">
        <f t="shared" si="19"/>
        <v>19524.363823088814</v>
      </c>
      <c r="Z151" s="85">
        <f t="shared" si="20"/>
        <v>19076.2</v>
      </c>
      <c r="AA151" s="80">
        <f>IF($AE151&gt;$Z151,$AE151*(1+'Factors &amp; Percentages'!$B$3),IF($Y151&gt;$Z151,$Z151,IF($Y151&gt;$AE151,$Y151,$AE151*(1+'Factors &amp; Percentages'!$B$3))))</f>
        <v>19076.2</v>
      </c>
      <c r="AB151" s="80">
        <f t="shared" si="21"/>
        <v>17785.600000000002</v>
      </c>
      <c r="AC151" s="85"/>
      <c r="AD151" s="80">
        <f t="shared" si="22"/>
        <v>17785.600000000002</v>
      </c>
      <c r="AE151" s="86">
        <v>13676</v>
      </c>
      <c r="AF151" s="87"/>
      <c r="AG151" s="88"/>
      <c r="AH151" s="88"/>
      <c r="AI151" s="88"/>
      <c r="AJ151" s="5"/>
    </row>
    <row r="152" spans="1:36" x14ac:dyDescent="0.3">
      <c r="A152" s="91" t="s">
        <v>179</v>
      </c>
      <c r="B152" s="76" t="s">
        <v>8</v>
      </c>
      <c r="C152" s="76" t="s">
        <v>175</v>
      </c>
      <c r="D152" s="31"/>
      <c r="E152" s="43">
        <f t="shared" si="23"/>
        <v>7379.45</v>
      </c>
      <c r="F152" s="29"/>
      <c r="G152" s="51">
        <f>8736-1000</f>
        <v>7736</v>
      </c>
      <c r="H152" s="59">
        <v>11353</v>
      </c>
      <c r="I152" s="51">
        <v>6553</v>
      </c>
      <c r="J152" s="59">
        <v>10780</v>
      </c>
      <c r="K152" s="49">
        <v>14155</v>
      </c>
      <c r="L152" s="29"/>
      <c r="M152" s="62">
        <f t="shared" si="17"/>
        <v>12768.5</v>
      </c>
      <c r="N152" s="58">
        <f t="shared" si="18"/>
        <v>7631</v>
      </c>
      <c r="O152" s="46">
        <f>SUM(M152*'Factors &amp; Percentages'!$E$6+N152*'Factors &amp; Percentages'!$E$7)</f>
        <v>1476.1576585951088</v>
      </c>
      <c r="P152" s="65">
        <v>0.25</v>
      </c>
      <c r="Q152" s="46">
        <f>P152*'Factors &amp; Percentages'!$E$10</f>
        <v>2741.3939477921858</v>
      </c>
      <c r="R152" s="69">
        <v>3914</v>
      </c>
      <c r="S152" s="46">
        <f>R152*'Factors &amp; Percentages'!$E$13</f>
        <v>6950.0135666027018</v>
      </c>
      <c r="T152" s="63">
        <v>12</v>
      </c>
      <c r="U152" s="64">
        <v>21</v>
      </c>
      <c r="V152" s="63">
        <v>465</v>
      </c>
      <c r="W152" s="46">
        <f>T152*'Factors &amp; Percentages'!$E$16+U152*'Factors &amp; Percentages'!$E$17+V152*'Factors &amp; Percentages'!$E$18</f>
        <v>1831.6266096980321</v>
      </c>
      <c r="X152" s="114"/>
      <c r="Y152" s="58">
        <f t="shared" si="19"/>
        <v>12999.191782688029</v>
      </c>
      <c r="Z152" s="71">
        <f t="shared" si="20"/>
        <v>7379.45</v>
      </c>
      <c r="AA152" s="51">
        <f>IF($AE152&gt;$Z152,$AE152*(1+'Factors &amp; Percentages'!$B$3),IF($Y152&gt;$Z152,$Z152,IF($Y152&gt;$AE152,$Y152,$AE152*(1+'Factors &amp; Percentages'!$B$3))))</f>
        <v>7379.45</v>
      </c>
      <c r="AB152" s="59">
        <f t="shared" si="21"/>
        <v>7379.45</v>
      </c>
      <c r="AC152" s="42"/>
      <c r="AD152" s="43">
        <f t="shared" si="22"/>
        <v>7379.45</v>
      </c>
      <c r="AE152" s="75">
        <v>1680</v>
      </c>
      <c r="AF152" s="32"/>
      <c r="AG152" s="33"/>
      <c r="AH152" s="33"/>
      <c r="AI152" s="33"/>
      <c r="AJ152" s="5"/>
    </row>
    <row r="153" spans="1:36" s="89" customFormat="1" x14ac:dyDescent="0.3">
      <c r="A153" s="90" t="s">
        <v>108</v>
      </c>
      <c r="B153" s="78" t="s">
        <v>43</v>
      </c>
      <c r="C153" s="78" t="s">
        <v>99</v>
      </c>
      <c r="D153" s="79"/>
      <c r="E153" s="80">
        <f t="shared" si="23"/>
        <v>25541.131361426771</v>
      </c>
      <c r="F153" s="80"/>
      <c r="G153" s="80">
        <v>64113</v>
      </c>
      <c r="H153" s="80">
        <v>55133</v>
      </c>
      <c r="I153" s="80">
        <v>36949</v>
      </c>
      <c r="J153" s="80">
        <v>0</v>
      </c>
      <c r="K153" s="80">
        <v>428</v>
      </c>
      <c r="L153" s="80"/>
      <c r="M153" s="81">
        <f t="shared" si="17"/>
        <v>55175.8</v>
      </c>
      <c r="N153" s="81">
        <f t="shared" si="18"/>
        <v>36949</v>
      </c>
      <c r="O153" s="81">
        <f>SUM(M153*'Factors &amp; Percentages'!$E$6+N153*'Factors &amp; Percentages'!$E$7)</f>
        <v>6611.4945026522164</v>
      </c>
      <c r="P153" s="82">
        <v>0.81562500000000004</v>
      </c>
      <c r="Q153" s="81">
        <f>P153*'Factors &amp; Percentages'!$E$10</f>
        <v>8943.7977546720067</v>
      </c>
      <c r="R153" s="83">
        <v>531</v>
      </c>
      <c r="S153" s="81">
        <f>R153*'Factors &amp; Percentages'!$E$13</f>
        <v>942.88635765611514</v>
      </c>
      <c r="T153" s="84">
        <v>52</v>
      </c>
      <c r="U153" s="84">
        <v>69</v>
      </c>
      <c r="V153" s="84">
        <v>10670</v>
      </c>
      <c r="W153" s="81">
        <f>T153*'Factors &amp; Percentages'!$E$16+U153*'Factors &amp; Percentages'!$E$17+V153*'Factors &amp; Percentages'!$E$18</f>
        <v>9042.9527464464318</v>
      </c>
      <c r="X153" s="113"/>
      <c r="Y153" s="81">
        <f t="shared" si="19"/>
        <v>25541.131361426771</v>
      </c>
      <c r="Z153" s="85">
        <f t="shared" si="20"/>
        <v>25541.131361426771</v>
      </c>
      <c r="AA153" s="80">
        <f>IF($AE153&gt;$Z153,$AE153*(1+'Factors &amp; Percentages'!$B$3),IF($Y153&gt;$Z153,$Z153,IF($Y153&gt;$AE153,$Y153,$AE153*(1+'Factors &amp; Percentages'!$B$3))))</f>
        <v>25541.131361426771</v>
      </c>
      <c r="AB153" s="80">
        <f t="shared" si="21"/>
        <v>25541.131361426771</v>
      </c>
      <c r="AC153" s="85"/>
      <c r="AD153" s="80">
        <f t="shared" si="22"/>
        <v>25541.131361426771</v>
      </c>
      <c r="AE153" s="86">
        <v>22400</v>
      </c>
      <c r="AF153" s="87"/>
      <c r="AG153" s="88"/>
      <c r="AH153" s="88"/>
      <c r="AI153" s="88"/>
      <c r="AJ153" s="5"/>
    </row>
    <row r="154" spans="1:36" x14ac:dyDescent="0.3">
      <c r="A154" s="91" t="s">
        <v>107</v>
      </c>
      <c r="B154" s="76" t="s">
        <v>43</v>
      </c>
      <c r="C154" s="76" t="s">
        <v>99</v>
      </c>
      <c r="D154" s="31"/>
      <c r="E154" s="43">
        <f t="shared" si="23"/>
        <v>28342.135788567812</v>
      </c>
      <c r="F154" s="29"/>
      <c r="G154" s="51">
        <v>7411</v>
      </c>
      <c r="H154" s="59">
        <v>20600</v>
      </c>
      <c r="I154" s="51">
        <v>40342</v>
      </c>
      <c r="J154" s="59">
        <v>0</v>
      </c>
      <c r="K154" s="49">
        <v>0</v>
      </c>
      <c r="L154" s="29"/>
      <c r="M154" s="62">
        <f t="shared" si="17"/>
        <v>20600</v>
      </c>
      <c r="N154" s="58">
        <f t="shared" si="18"/>
        <v>40342</v>
      </c>
      <c r="O154" s="46">
        <f>SUM(M154*'Factors &amp; Percentages'!$E$6+N154*'Factors &amp; Percentages'!$E$7)</f>
        <v>4022.7688404635455</v>
      </c>
      <c r="P154" s="70">
        <v>0.21562500000000001</v>
      </c>
      <c r="Q154" s="46">
        <f>P154*'Factors &amp; Percentages'!$E$10</f>
        <v>2364.4522799707602</v>
      </c>
      <c r="R154" s="69">
        <v>10434</v>
      </c>
      <c r="S154" s="46">
        <f>R154*'Factors &amp; Percentages'!$E$13</f>
        <v>18527.45057586423</v>
      </c>
      <c r="T154" s="63">
        <v>16</v>
      </c>
      <c r="U154" s="64">
        <v>63</v>
      </c>
      <c r="V154" s="63">
        <v>2681</v>
      </c>
      <c r="W154" s="46">
        <f>T154*'Factors &amp; Percentages'!$E$16+U154*'Factors &amp; Percentages'!$E$17+V154*'Factors &amp; Percentages'!$E$18</f>
        <v>3427.4640922692756</v>
      </c>
      <c r="X154" s="114"/>
      <c r="Y154" s="58">
        <f t="shared" si="19"/>
        <v>28342.135788567812</v>
      </c>
      <c r="Z154" s="71">
        <f t="shared" si="20"/>
        <v>28342.135788567812</v>
      </c>
      <c r="AA154" s="51">
        <f>IF($AE154&gt;$Z154,$AE154*(1+'Factors &amp; Percentages'!$B$3),IF($Y154&gt;$Z154,$Z154,IF($Y154&gt;$AE154,$Y154,$AE154*(1+'Factors &amp; Percentages'!$B$3))))</f>
        <v>28342.135788567812</v>
      </c>
      <c r="AB154" s="59">
        <f t="shared" si="21"/>
        <v>28342.135788567812</v>
      </c>
      <c r="AC154" s="42"/>
      <c r="AD154" s="43">
        <f t="shared" si="22"/>
        <v>28342.135788567812</v>
      </c>
      <c r="AE154" s="75">
        <v>6803</v>
      </c>
      <c r="AF154" s="32"/>
      <c r="AG154" s="33"/>
      <c r="AH154" s="33"/>
      <c r="AI154" s="33"/>
      <c r="AJ154" s="5"/>
    </row>
    <row r="155" spans="1:36" s="89" customFormat="1" x14ac:dyDescent="0.3">
      <c r="A155" s="90" t="s">
        <v>143</v>
      </c>
      <c r="B155" s="78" t="s">
        <v>8</v>
      </c>
      <c r="C155" s="78" t="s">
        <v>132</v>
      </c>
      <c r="D155" s="79"/>
      <c r="E155" s="80">
        <f t="shared" si="23"/>
        <v>21429.133810157386</v>
      </c>
      <c r="F155" s="80"/>
      <c r="G155" s="80">
        <f>24564-500</f>
        <v>24064</v>
      </c>
      <c r="H155" s="80">
        <v>36701</v>
      </c>
      <c r="I155" s="80">
        <v>13635</v>
      </c>
      <c r="J155" s="80">
        <v>52489</v>
      </c>
      <c r="K155" s="80">
        <v>349</v>
      </c>
      <c r="L155" s="80"/>
      <c r="M155" s="81">
        <f t="shared" si="17"/>
        <v>36735.9</v>
      </c>
      <c r="N155" s="81">
        <f t="shared" si="18"/>
        <v>18883.900000000001</v>
      </c>
      <c r="O155" s="81">
        <f>SUM(M155*'Factors &amp; Percentages'!$E$6+N155*'Factors &amp; Percentages'!$E$7)</f>
        <v>4067.2001825489397</v>
      </c>
      <c r="P155" s="82">
        <v>0.5</v>
      </c>
      <c r="Q155" s="81">
        <f>P155*'Factors &amp; Percentages'!$E$10</f>
        <v>5482.7878955843717</v>
      </c>
      <c r="R155" s="83">
        <v>3231</v>
      </c>
      <c r="S155" s="81">
        <f>R155*'Factors &amp; Percentages'!$E$13</f>
        <v>5737.2237694668702</v>
      </c>
      <c r="T155" s="84">
        <v>26</v>
      </c>
      <c r="U155" s="84">
        <v>92</v>
      </c>
      <c r="V155" s="84">
        <v>8731</v>
      </c>
      <c r="W155" s="81">
        <f>T155*'Factors &amp; Percentages'!$E$16+U155*'Factors &amp; Percentages'!$E$17+V155*'Factors &amp; Percentages'!$E$18</f>
        <v>6141.9219625572059</v>
      </c>
      <c r="X155" s="113"/>
      <c r="Y155" s="81">
        <f t="shared" si="19"/>
        <v>21429.133810157386</v>
      </c>
      <c r="Z155" s="85">
        <f t="shared" si="20"/>
        <v>21429.133810157386</v>
      </c>
      <c r="AA155" s="80">
        <f>IF($AE155&gt;$Z155,$AE155*(1+'Factors &amp; Percentages'!$B$3),IF($Y155&gt;$Z155,$Z155,IF($Y155&gt;$AE155,$Y155,$AE155*(1+'Factors &amp; Percentages'!$B$3))))</f>
        <v>21429.133810157386</v>
      </c>
      <c r="AB155" s="80">
        <f t="shared" si="21"/>
        <v>21429.133810157386</v>
      </c>
      <c r="AC155" s="85"/>
      <c r="AD155" s="80">
        <f t="shared" si="22"/>
        <v>21429.133810157386</v>
      </c>
      <c r="AE155" s="86">
        <v>15642</v>
      </c>
      <c r="AF155" s="87"/>
      <c r="AG155" s="88"/>
      <c r="AH155" s="88"/>
      <c r="AI155" s="88"/>
      <c r="AJ155" s="5"/>
    </row>
    <row r="156" spans="1:36" x14ac:dyDescent="0.3">
      <c r="A156" s="91" t="s">
        <v>93</v>
      </c>
      <c r="B156" s="76" t="s">
        <v>75</v>
      </c>
      <c r="C156" s="76" t="s">
        <v>75</v>
      </c>
      <c r="D156" s="31"/>
      <c r="E156" s="43">
        <f t="shared" si="23"/>
        <v>14598.578163917824</v>
      </c>
      <c r="F156" s="29"/>
      <c r="G156" s="51">
        <f>15409-2000-500</f>
        <v>12909</v>
      </c>
      <c r="H156" s="59">
        <v>14960</v>
      </c>
      <c r="I156" s="51">
        <v>26189</v>
      </c>
      <c r="J156" s="59">
        <v>1366</v>
      </c>
      <c r="K156" s="49">
        <v>0</v>
      </c>
      <c r="L156" s="29"/>
      <c r="M156" s="62">
        <f t="shared" si="17"/>
        <v>14960</v>
      </c>
      <c r="N156" s="58">
        <f t="shared" si="18"/>
        <v>26325.599999999999</v>
      </c>
      <c r="O156" s="46">
        <f>SUM(M156*'Factors &amp; Percentages'!$E$6+N156*'Factors &amp; Percentages'!$E$7)</f>
        <v>2747.4163824025791</v>
      </c>
      <c r="P156" s="65">
        <v>0.25</v>
      </c>
      <c r="Q156" s="46">
        <f>P156*'Factors &amp; Percentages'!$E$10</f>
        <v>2741.3939477921858</v>
      </c>
      <c r="R156" s="69">
        <v>2506</v>
      </c>
      <c r="S156" s="46">
        <f>R156*'Factors &amp; Percentages'!$E$13</f>
        <v>4449.8553903695383</v>
      </c>
      <c r="T156" s="63">
        <v>25</v>
      </c>
      <c r="U156" s="64">
        <v>75</v>
      </c>
      <c r="V156" s="63">
        <f>5206/2</f>
        <v>2603</v>
      </c>
      <c r="W156" s="46">
        <f>T156*'Factors &amp; Percentages'!$E$16+U156*'Factors &amp; Percentages'!$E$17+V156*'Factors &amp; Percentages'!$E$18</f>
        <v>4659.9124433535217</v>
      </c>
      <c r="X156" s="114"/>
      <c r="Y156" s="58">
        <f t="shared" si="19"/>
        <v>14598.578163917824</v>
      </c>
      <c r="Z156" s="71">
        <f t="shared" si="20"/>
        <v>14598.578163917824</v>
      </c>
      <c r="AA156" s="51">
        <f>IF($AE156&gt;$Z156,$AE156*(1+'Factors &amp; Percentages'!$B$3),IF($Y156&gt;$Z156,$Z156,IF($Y156&gt;$AE156,$Y156,$AE156*(1+'Factors &amp; Percentages'!$B$3))))</f>
        <v>14598.578163917824</v>
      </c>
      <c r="AB156" s="59">
        <f t="shared" si="21"/>
        <v>14598.578163917824</v>
      </c>
      <c r="AC156" s="42"/>
      <c r="AD156" s="43">
        <f t="shared" si="22"/>
        <v>14598.578163917824</v>
      </c>
      <c r="AE156" s="75">
        <v>3600</v>
      </c>
      <c r="AF156" s="32"/>
      <c r="AG156" s="33"/>
      <c r="AH156" s="33"/>
      <c r="AI156" s="33"/>
      <c r="AJ156" s="5"/>
    </row>
    <row r="157" spans="1:36" s="89" customFormat="1" x14ac:dyDescent="0.3">
      <c r="A157" s="90" t="s">
        <v>94</v>
      </c>
      <c r="B157" s="78" t="s">
        <v>75</v>
      </c>
      <c r="C157" s="78" t="s">
        <v>75</v>
      </c>
      <c r="D157" s="79"/>
      <c r="E157" s="80">
        <f t="shared" si="23"/>
        <v>14794.404713373488</v>
      </c>
      <c r="F157" s="80"/>
      <c r="G157" s="80">
        <f>23531-1000-500</f>
        <v>22031</v>
      </c>
      <c r="H157" s="80">
        <v>31103</v>
      </c>
      <c r="I157" s="80">
        <v>34576</v>
      </c>
      <c r="J157" s="80">
        <v>19188</v>
      </c>
      <c r="K157" s="80">
        <v>49</v>
      </c>
      <c r="L157" s="80"/>
      <c r="M157" s="81">
        <f t="shared" si="17"/>
        <v>31107.9</v>
      </c>
      <c r="N157" s="81">
        <f t="shared" si="18"/>
        <v>36494.800000000003</v>
      </c>
      <c r="O157" s="81">
        <f>SUM(M157*'Factors &amp; Percentages'!$E$6+N157*'Factors &amp; Percentages'!$E$7)</f>
        <v>4644.6244233209673</v>
      </c>
      <c r="P157" s="82">
        <v>0.25</v>
      </c>
      <c r="Q157" s="81">
        <f>P157*'Factors &amp; Percentages'!$E$10</f>
        <v>2741.3939477921858</v>
      </c>
      <c r="R157" s="83">
        <v>2506</v>
      </c>
      <c r="S157" s="81">
        <f>R157*'Factors &amp; Percentages'!$E$13</f>
        <v>4449.8553903695383</v>
      </c>
      <c r="T157" s="84">
        <v>15</v>
      </c>
      <c r="U157" s="84">
        <v>44</v>
      </c>
      <c r="V157" s="84">
        <f>5206/2</f>
        <v>2603</v>
      </c>
      <c r="W157" s="81">
        <f>T157*'Factors &amp; Percentages'!$E$16+U157*'Factors &amp; Percentages'!$E$17+V157*'Factors &amp; Percentages'!$E$18</f>
        <v>2958.5309518907966</v>
      </c>
      <c r="X157" s="113"/>
      <c r="Y157" s="81">
        <f t="shared" si="19"/>
        <v>14794.404713373488</v>
      </c>
      <c r="Z157" s="85">
        <f t="shared" si="20"/>
        <v>14794.404713373488</v>
      </c>
      <c r="AA157" s="80">
        <f>IF($AE157&gt;$Z157,$AE157*(1+'Factors &amp; Percentages'!$B$3),IF($Y157&gt;$Z157,$Z157,IF($Y157&gt;$AE157,$Y157,$AE157*(1+'Factors &amp; Percentages'!$B$3))))</f>
        <v>14794.404713373488</v>
      </c>
      <c r="AB157" s="80">
        <f t="shared" si="21"/>
        <v>14794.404713373488</v>
      </c>
      <c r="AC157" s="85"/>
      <c r="AD157" s="80">
        <f t="shared" si="22"/>
        <v>14794.404713373488</v>
      </c>
      <c r="AE157" s="86">
        <v>7500</v>
      </c>
      <c r="AF157" s="87"/>
      <c r="AG157" s="88"/>
      <c r="AH157" s="88"/>
      <c r="AI157" s="88"/>
      <c r="AJ157" s="5"/>
    </row>
    <row r="158" spans="1:36" x14ac:dyDescent="0.3">
      <c r="A158" s="91" t="s">
        <v>17</v>
      </c>
      <c r="B158" s="76" t="s">
        <v>8</v>
      </c>
      <c r="C158" s="76" t="s">
        <v>8</v>
      </c>
      <c r="D158" s="31"/>
      <c r="E158" s="43">
        <f t="shared" si="23"/>
        <v>37800</v>
      </c>
      <c r="F158" s="29"/>
      <c r="G158" s="51">
        <v>61675</v>
      </c>
      <c r="H158" s="59">
        <v>71330</v>
      </c>
      <c r="I158" s="51">
        <v>64666</v>
      </c>
      <c r="J158" s="59">
        <v>3836</v>
      </c>
      <c r="K158" s="49">
        <v>732</v>
      </c>
      <c r="L158" s="29"/>
      <c r="M158" s="62">
        <f t="shared" si="17"/>
        <v>71403.199999999997</v>
      </c>
      <c r="N158" s="58">
        <f t="shared" si="18"/>
        <v>65049.599999999999</v>
      </c>
      <c r="O158" s="46">
        <f>SUM(M158*'Factors &amp; Percentages'!$E$6+N158*'Factors &amp; Percentages'!$E$7)</f>
        <v>9565.0125555655541</v>
      </c>
      <c r="P158" s="65">
        <v>0.75</v>
      </c>
      <c r="Q158" s="46">
        <f>P158*'Factors &amp; Percentages'!$E$10</f>
        <v>8224.1818433765584</v>
      </c>
      <c r="R158" s="69">
        <v>444</v>
      </c>
      <c r="S158" s="46">
        <f>R158*'Factors &amp; Percentages'!$E$13</f>
        <v>788.40215216443528</v>
      </c>
      <c r="T158" s="63">
        <v>30</v>
      </c>
      <c r="U158" s="64">
        <v>93</v>
      </c>
      <c r="V158" s="63">
        <v>10221</v>
      </c>
      <c r="W158" s="46">
        <f>T158*'Factors &amp; Percentages'!$E$16+U158*'Factors &amp; Percentages'!$E$17+V158*'Factors &amp; Percentages'!$E$18</f>
        <v>6876.2792787133021</v>
      </c>
      <c r="X158" s="114"/>
      <c r="Y158" s="58">
        <f t="shared" si="19"/>
        <v>25453.875829819852</v>
      </c>
      <c r="Z158" s="71">
        <f t="shared" si="20"/>
        <v>25453.875829819852</v>
      </c>
      <c r="AA158" s="51">
        <f>IF($AE158&gt;$Z158,$AE158*(1+'Factors &amp; Percentages'!$B$3),IF($Y158&gt;$Z158,$Z158,IF($Y158&gt;$AE158,$Y158,$AE158*(1+'Factors &amp; Percentages'!$B$3))))</f>
        <v>37800</v>
      </c>
      <c r="AB158" s="59">
        <f t="shared" si="21"/>
        <v>37800</v>
      </c>
      <c r="AC158" s="42"/>
      <c r="AD158" s="43">
        <f t="shared" si="22"/>
        <v>37800</v>
      </c>
      <c r="AE158" s="75">
        <v>36000</v>
      </c>
      <c r="AF158" s="32"/>
      <c r="AG158" s="33"/>
      <c r="AH158" s="33"/>
      <c r="AI158" s="33"/>
      <c r="AJ158" s="5"/>
    </row>
    <row r="159" spans="1:36" s="89" customFormat="1" x14ac:dyDescent="0.3">
      <c r="A159" s="90" t="s">
        <v>95</v>
      </c>
      <c r="B159" s="78" t="s">
        <v>75</v>
      </c>
      <c r="C159" s="78" t="s">
        <v>75</v>
      </c>
      <c r="D159" s="79"/>
      <c r="E159" s="80">
        <f t="shared" si="23"/>
        <v>31948.800000000003</v>
      </c>
      <c r="F159" s="80"/>
      <c r="G159" s="80">
        <f>73780-30020</f>
        <v>43760</v>
      </c>
      <c r="H159" s="80">
        <v>49152</v>
      </c>
      <c r="I159" s="80">
        <v>46174</v>
      </c>
      <c r="J159" s="80">
        <v>4745</v>
      </c>
      <c r="K159" s="80">
        <v>1540</v>
      </c>
      <c r="L159" s="80"/>
      <c r="M159" s="81">
        <f t="shared" si="17"/>
        <v>49306</v>
      </c>
      <c r="N159" s="81">
        <f t="shared" si="18"/>
        <v>46648.5</v>
      </c>
      <c r="O159" s="81">
        <f>SUM(M159*'Factors &amp; Percentages'!$E$6+N159*'Factors &amp; Percentages'!$E$7)</f>
        <v>6706.2054146409164</v>
      </c>
      <c r="P159" s="82">
        <v>0.25</v>
      </c>
      <c r="Q159" s="81">
        <f>P159*'Factors &amp; Percentages'!$E$10</f>
        <v>2741.3939477921858</v>
      </c>
      <c r="R159" s="83">
        <v>11941</v>
      </c>
      <c r="S159" s="81">
        <f>R159*'Factors &amp; Percentages'!$E$13</f>
        <v>21203.401123863787</v>
      </c>
      <c r="T159" s="84">
        <v>30</v>
      </c>
      <c r="U159" s="84">
        <v>92</v>
      </c>
      <c r="V159" s="84">
        <v>1916</v>
      </c>
      <c r="W159" s="81">
        <f>T159*'Factors &amp; Percentages'!$E$16+U159*'Factors &amp; Percentages'!$E$17+V159*'Factors &amp; Percentages'!$E$18</f>
        <v>5418.4023098240077</v>
      </c>
      <c r="X159" s="113"/>
      <c r="Y159" s="81">
        <f t="shared" si="19"/>
        <v>36069.402796120899</v>
      </c>
      <c r="Z159" s="85">
        <f t="shared" si="20"/>
        <v>31948.800000000003</v>
      </c>
      <c r="AA159" s="80">
        <f>IF($AE159&gt;$Z159,$AE159*(1+'Factors &amp; Percentages'!$B$3),IF($Y159&gt;$Z159,$Z159,IF($Y159&gt;$AE159,$Y159,$AE159*(1+'Factors &amp; Percentages'!$B$3))))</f>
        <v>31948.800000000003</v>
      </c>
      <c r="AB159" s="80">
        <f t="shared" si="21"/>
        <v>31948.800000000003</v>
      </c>
      <c r="AC159" s="85"/>
      <c r="AD159" s="80">
        <f t="shared" si="22"/>
        <v>31948.800000000003</v>
      </c>
      <c r="AE159" s="86">
        <v>30000</v>
      </c>
      <c r="AF159" s="87"/>
      <c r="AG159" s="88"/>
      <c r="AH159" s="88"/>
      <c r="AI159" s="88"/>
      <c r="AJ159" s="5"/>
    </row>
    <row r="160" spans="1:36" x14ac:dyDescent="0.3">
      <c r="A160" s="91" t="s">
        <v>218</v>
      </c>
      <c r="B160" s="76" t="s">
        <v>43</v>
      </c>
      <c r="C160" s="76" t="s">
        <v>99</v>
      </c>
      <c r="D160" s="31"/>
      <c r="E160" s="43">
        <f t="shared" si="23"/>
        <v>12254.299582334937</v>
      </c>
      <c r="F160" s="29"/>
      <c r="G160" s="51">
        <v>33784</v>
      </c>
      <c r="H160" s="59">
        <v>30569</v>
      </c>
      <c r="I160" s="51">
        <v>34713</v>
      </c>
      <c r="J160" s="59">
        <v>195</v>
      </c>
      <c r="K160" s="49">
        <v>46</v>
      </c>
      <c r="L160" s="29"/>
      <c r="M160" s="62">
        <f t="shared" si="17"/>
        <v>30573.599999999999</v>
      </c>
      <c r="N160" s="58">
        <f t="shared" si="18"/>
        <v>34732.5</v>
      </c>
      <c r="O160" s="46">
        <f>SUM(M160*'Factors &amp; Percentages'!$E$6+N160*'Factors &amp; Percentages'!$E$7)</f>
        <v>4498.3665002513872</v>
      </c>
      <c r="P160" s="70">
        <v>0.265625</v>
      </c>
      <c r="Q160" s="46">
        <f>P160*'Factors &amp; Percentages'!$E$10</f>
        <v>2912.7310695291976</v>
      </c>
      <c r="R160" s="69">
        <v>504</v>
      </c>
      <c r="S160" s="46">
        <f>R160*'Factors &amp; Percentages'!$E$13</f>
        <v>894.94298353800764</v>
      </c>
      <c r="T160" s="63">
        <v>19</v>
      </c>
      <c r="U160" s="64">
        <v>51</v>
      </c>
      <c r="V160" s="63">
        <v>4945</v>
      </c>
      <c r="W160" s="46">
        <f>T160*'Factors &amp; Percentages'!$E$16+U160*'Factors &amp; Percentages'!$E$17+V160*'Factors &amp; Percentages'!$E$18</f>
        <v>3948.2590290163466</v>
      </c>
      <c r="X160" s="114"/>
      <c r="Y160" s="58">
        <f t="shared" si="19"/>
        <v>12254.299582334937</v>
      </c>
      <c r="Z160" s="71">
        <f t="shared" si="20"/>
        <v>12254.299582334937</v>
      </c>
      <c r="AA160" s="51">
        <f>IF($AE160&gt;$Z160,$AE160*(1+'Factors &amp; Percentages'!$B$3),IF($Y160&gt;$Z160,$Z160,IF($Y160&gt;$AE160,$Y160,$AE160*(1+'Factors &amp; Percentages'!$B$3))))</f>
        <v>12254.299582334937</v>
      </c>
      <c r="AB160" s="59">
        <f t="shared" si="21"/>
        <v>12254.299582334937</v>
      </c>
      <c r="AC160" s="42"/>
      <c r="AD160" s="43">
        <f t="shared" si="22"/>
        <v>12254.299582334937</v>
      </c>
      <c r="AE160" s="75">
        <v>12000</v>
      </c>
      <c r="AF160" s="32"/>
      <c r="AG160" s="33"/>
      <c r="AH160" s="33"/>
      <c r="AI160" s="33"/>
      <c r="AJ160" s="5"/>
    </row>
    <row r="161" spans="1:36" s="89" customFormat="1" x14ac:dyDescent="0.3">
      <c r="A161" s="90" t="s">
        <v>74</v>
      </c>
      <c r="B161" s="78" t="s">
        <v>8</v>
      </c>
      <c r="C161" s="78" t="s">
        <v>59</v>
      </c>
      <c r="D161" s="79"/>
      <c r="E161" s="80">
        <f t="shared" si="23"/>
        <v>17785.600000000002</v>
      </c>
      <c r="F161" s="80"/>
      <c r="G161" s="80">
        <v>1101</v>
      </c>
      <c r="H161" s="80">
        <v>1839</v>
      </c>
      <c r="I161" s="80">
        <v>46814</v>
      </c>
      <c r="J161" s="80">
        <v>0</v>
      </c>
      <c r="K161" s="80">
        <v>0</v>
      </c>
      <c r="L161" s="80"/>
      <c r="M161" s="81">
        <f t="shared" si="17"/>
        <v>1839</v>
      </c>
      <c r="N161" s="81">
        <f t="shared" si="18"/>
        <v>46814</v>
      </c>
      <c r="O161" s="81">
        <f>SUM(M161*'Factors &amp; Percentages'!$E$6+N161*'Factors &amp; Percentages'!$E$7)</f>
        <v>2889.2596416783936</v>
      </c>
      <c r="P161" s="82">
        <v>0.1</v>
      </c>
      <c r="Q161" s="81">
        <f>P161*'Factors &amp; Percentages'!$E$10</f>
        <v>1096.5575791168744</v>
      </c>
      <c r="R161" s="83">
        <v>7779</v>
      </c>
      <c r="S161" s="81">
        <f>R161*'Factors &amp; Percentages'!$E$13</f>
        <v>13813.018787583653</v>
      </c>
      <c r="T161" s="84">
        <v>8</v>
      </c>
      <c r="U161" s="84">
        <v>19</v>
      </c>
      <c r="V161" s="84">
        <v>159</v>
      </c>
      <c r="W161" s="81">
        <f>T161*'Factors &amp; Percentages'!$E$16+U161*'Factors &amp; Percentages'!$E$17+V161*'Factors &amp; Percentages'!$E$18</f>
        <v>1284.611692448467</v>
      </c>
      <c r="X161" s="113"/>
      <c r="Y161" s="81">
        <f t="shared" si="19"/>
        <v>19083.447700827386</v>
      </c>
      <c r="Z161" s="85">
        <f t="shared" si="20"/>
        <v>19083.447700827386</v>
      </c>
      <c r="AA161" s="80">
        <f>IF($AE161&gt;$Z161,$AE161*(1+'Factors &amp; Percentages'!$B$3),IF($Y161&gt;$Z161,$Z161,IF($Y161&gt;$AE161,$Y161,$AE161*(1+'Factors &amp; Percentages'!$B$3))))</f>
        <v>19083.447700827386</v>
      </c>
      <c r="AB161" s="80">
        <f t="shared" si="21"/>
        <v>17785.600000000002</v>
      </c>
      <c r="AC161" s="85"/>
      <c r="AD161" s="80">
        <f t="shared" si="22"/>
        <v>17785.600000000002</v>
      </c>
      <c r="AE161" s="86">
        <v>2000</v>
      </c>
      <c r="AF161" s="87"/>
      <c r="AG161" s="88"/>
      <c r="AH161" s="88"/>
      <c r="AI161" s="88"/>
      <c r="AJ161" s="5"/>
    </row>
    <row r="162" spans="1:36" x14ac:dyDescent="0.3">
      <c r="A162" s="91" t="s">
        <v>109</v>
      </c>
      <c r="B162" s="76" t="s">
        <v>43</v>
      </c>
      <c r="C162" s="76" t="s">
        <v>99</v>
      </c>
      <c r="D162" s="31"/>
      <c r="E162" s="43">
        <f t="shared" si="23"/>
        <v>13201.398980712071</v>
      </c>
      <c r="F162" s="29"/>
      <c r="G162" s="51">
        <v>19535</v>
      </c>
      <c r="H162" s="59">
        <v>26311</v>
      </c>
      <c r="I162" s="51">
        <v>20835</v>
      </c>
      <c r="J162" s="59">
        <v>25060</v>
      </c>
      <c r="K162" s="49">
        <v>3321</v>
      </c>
      <c r="L162" s="29"/>
      <c r="M162" s="62">
        <f t="shared" si="17"/>
        <v>26643.1</v>
      </c>
      <c r="N162" s="58">
        <f t="shared" si="18"/>
        <v>23341</v>
      </c>
      <c r="O162" s="46">
        <f>SUM(M162*'Factors &amp; Percentages'!$E$6+N162*'Factors &amp; Percentages'!$E$7)</f>
        <v>3514.5188591674796</v>
      </c>
      <c r="P162" s="70">
        <v>0.41562500000000002</v>
      </c>
      <c r="Q162" s="46">
        <f>P162*'Factors &amp; Percentages'!$E$10</f>
        <v>4557.567438204509</v>
      </c>
      <c r="R162" s="69">
        <v>1245</v>
      </c>
      <c r="S162" s="46">
        <f>R162*'Factors &amp; Percentages'!$E$13</f>
        <v>2210.7222510016259</v>
      </c>
      <c r="T162" s="63">
        <v>15</v>
      </c>
      <c r="U162" s="64">
        <v>37</v>
      </c>
      <c r="V162" s="63">
        <v>3097</v>
      </c>
      <c r="W162" s="46">
        <f>T162*'Factors &amp; Percentages'!$E$16+U162*'Factors &amp; Percentages'!$E$17+V162*'Factors &amp; Percentages'!$E$18</f>
        <v>2918.5904323384566</v>
      </c>
      <c r="X162" s="114"/>
      <c r="Y162" s="58">
        <f t="shared" si="19"/>
        <v>13201.398980712071</v>
      </c>
      <c r="Z162" s="71">
        <f t="shared" si="20"/>
        <v>13201.398980712071</v>
      </c>
      <c r="AA162" s="51">
        <f>IF($AE162&gt;$Z162,$AE162*(1+'Factors &amp; Percentages'!$B$3),IF($Y162&gt;$Z162,$Z162,IF($Y162&gt;$AE162,$Y162,$AE162*(1+'Factors &amp; Percentages'!$B$3))))</f>
        <v>13201.398980712071</v>
      </c>
      <c r="AB162" s="59">
        <f t="shared" si="21"/>
        <v>13201.398980712071</v>
      </c>
      <c r="AC162" s="42"/>
      <c r="AD162" s="43">
        <f t="shared" si="22"/>
        <v>13201.398980712071</v>
      </c>
      <c r="AE162" s="75">
        <v>10000</v>
      </c>
      <c r="AF162" s="32"/>
      <c r="AG162" s="33"/>
      <c r="AH162" s="33"/>
      <c r="AI162" s="33"/>
      <c r="AJ162" s="5"/>
    </row>
    <row r="163" spans="1:36" s="89" customFormat="1" x14ac:dyDescent="0.3">
      <c r="A163" s="90" t="s">
        <v>158</v>
      </c>
      <c r="B163" s="78" t="s">
        <v>43</v>
      </c>
      <c r="C163" s="78" t="s">
        <v>145</v>
      </c>
      <c r="D163" s="79"/>
      <c r="E163" s="80">
        <f t="shared" si="23"/>
        <v>19374.55</v>
      </c>
      <c r="F163" s="80"/>
      <c r="G163" s="80">
        <v>29262</v>
      </c>
      <c r="H163" s="80">
        <v>29807</v>
      </c>
      <c r="I163" s="80">
        <v>8279</v>
      </c>
      <c r="J163" s="80">
        <v>23892</v>
      </c>
      <c r="K163" s="80">
        <v>5680</v>
      </c>
      <c r="L163" s="80"/>
      <c r="M163" s="81">
        <f t="shared" si="17"/>
        <v>30375</v>
      </c>
      <c r="N163" s="81">
        <f t="shared" si="18"/>
        <v>10668.2</v>
      </c>
      <c r="O163" s="81">
        <f>SUM(M163*'Factors &amp; Percentages'!$E$6+N163*'Factors &amp; Percentages'!$E$7)</f>
        <v>3073.3677481013578</v>
      </c>
      <c r="P163" s="82">
        <v>1</v>
      </c>
      <c r="Q163" s="81">
        <f>P163*'Factors &amp; Percentages'!$E$10</f>
        <v>10965.575791168743</v>
      </c>
      <c r="R163" s="83">
        <v>474</v>
      </c>
      <c r="S163" s="81">
        <f>R163*'Factors &amp; Percentages'!$E$13</f>
        <v>841.6725678512214</v>
      </c>
      <c r="T163" s="84">
        <v>30</v>
      </c>
      <c r="U163" s="84">
        <v>55</v>
      </c>
      <c r="V163" s="84">
        <v>21309</v>
      </c>
      <c r="W163" s="81">
        <f>T163*'Factors &amp; Percentages'!$E$16+U163*'Factors &amp; Percentages'!$E$17+V163*'Factors &amp; Percentages'!$E$18</f>
        <v>8116.9557922305448</v>
      </c>
      <c r="X163" s="113"/>
      <c r="Y163" s="81">
        <f t="shared" si="19"/>
        <v>22997.571899351868</v>
      </c>
      <c r="Z163" s="85">
        <f t="shared" si="20"/>
        <v>19374.55</v>
      </c>
      <c r="AA163" s="80">
        <f>IF($AE163&gt;$Z163,$AE163*(1+'Factors &amp; Percentages'!$B$3),IF($Y163&gt;$Z163,$Z163,IF($Y163&gt;$AE163,$Y163,$AE163*(1+'Factors &amp; Percentages'!$B$3))))</f>
        <v>19374.55</v>
      </c>
      <c r="AB163" s="80">
        <f t="shared" si="21"/>
        <v>19374.55</v>
      </c>
      <c r="AC163" s="85"/>
      <c r="AD163" s="80">
        <f t="shared" si="22"/>
        <v>19374.55</v>
      </c>
      <c r="AE163" s="86">
        <v>16000</v>
      </c>
      <c r="AF163" s="87"/>
      <c r="AG163" s="88"/>
      <c r="AH163" s="88"/>
      <c r="AI163" s="88"/>
      <c r="AJ163" s="5"/>
    </row>
    <row r="164" spans="1:36" x14ac:dyDescent="0.3">
      <c r="A164" s="91" t="s">
        <v>159</v>
      </c>
      <c r="B164" s="76" t="s">
        <v>43</v>
      </c>
      <c r="C164" s="76" t="s">
        <v>145</v>
      </c>
      <c r="D164" s="31"/>
      <c r="E164" s="43">
        <f t="shared" si="23"/>
        <v>16761.336289979023</v>
      </c>
      <c r="F164" s="29"/>
      <c r="G164" s="51">
        <f>23545-1526</f>
        <v>22019</v>
      </c>
      <c r="H164" s="59">
        <v>26799</v>
      </c>
      <c r="I164" s="51">
        <v>47082</v>
      </c>
      <c r="J164" s="59">
        <v>15085</v>
      </c>
      <c r="K164" s="49">
        <v>0</v>
      </c>
      <c r="L164" s="29"/>
      <c r="M164" s="62">
        <f t="shared" si="17"/>
        <v>26799</v>
      </c>
      <c r="N164" s="58">
        <f t="shared" si="18"/>
        <v>48590.5</v>
      </c>
      <c r="O164" s="46">
        <f>SUM(M164*'Factors &amp; Percentages'!$E$6+N164*'Factors &amp; Percentages'!$E$7)</f>
        <v>5005.4698927695854</v>
      </c>
      <c r="P164" s="65">
        <v>0.5</v>
      </c>
      <c r="Q164" s="46">
        <f>P164*'Factors &amp; Percentages'!$E$10</f>
        <v>5482.7878955843717</v>
      </c>
      <c r="R164" s="69">
        <v>648</v>
      </c>
      <c r="S164" s="46">
        <f>R164*'Factors &amp; Percentages'!$E$13</f>
        <v>1150.6409788345811</v>
      </c>
      <c r="T164" s="63">
        <v>30</v>
      </c>
      <c r="U164" s="64">
        <v>42</v>
      </c>
      <c r="V164" s="63">
        <v>5383</v>
      </c>
      <c r="W164" s="46">
        <f>T164*'Factors &amp; Percentages'!$E$16+U164*'Factors &amp; Percentages'!$E$17+V164*'Factors &amp; Percentages'!$E$18</f>
        <v>5122.4375227904848</v>
      </c>
      <c r="X164" s="114"/>
      <c r="Y164" s="58">
        <f t="shared" si="19"/>
        <v>16761.336289979023</v>
      </c>
      <c r="Z164" s="71">
        <f t="shared" si="20"/>
        <v>16761.336289979023</v>
      </c>
      <c r="AA164" s="51">
        <f>IF($AE164&gt;$Z164,$AE164*(1+'Factors &amp; Percentages'!$B$3),IF($Y164&gt;$Z164,$Z164,IF($Y164&gt;$AE164,$Y164,$AE164*(1+'Factors &amp; Percentages'!$B$3))))</f>
        <v>16761.336289979023</v>
      </c>
      <c r="AB164" s="59">
        <f t="shared" si="21"/>
        <v>16761.336289979023</v>
      </c>
      <c r="AC164" s="42"/>
      <c r="AD164" s="43">
        <f t="shared" si="22"/>
        <v>16761.336289979023</v>
      </c>
      <c r="AE164" s="75">
        <v>10200</v>
      </c>
      <c r="AF164" s="32"/>
      <c r="AG164" s="33"/>
      <c r="AH164" s="33"/>
      <c r="AI164" s="33"/>
      <c r="AJ164" s="5"/>
    </row>
    <row r="165" spans="1:36" s="89" customFormat="1" x14ac:dyDescent="0.3">
      <c r="A165" s="90" t="s">
        <v>160</v>
      </c>
      <c r="B165" s="78" t="s">
        <v>43</v>
      </c>
      <c r="C165" s="78" t="s">
        <v>145</v>
      </c>
      <c r="D165" s="79"/>
      <c r="E165" s="80">
        <f t="shared" si="23"/>
        <v>12027.75</v>
      </c>
      <c r="F165" s="80"/>
      <c r="G165" s="80">
        <v>17623</v>
      </c>
      <c r="H165" s="80">
        <v>20259</v>
      </c>
      <c r="I165" s="80">
        <v>8567</v>
      </c>
      <c r="J165" s="80">
        <v>24545</v>
      </c>
      <c r="K165" s="80">
        <v>3997</v>
      </c>
      <c r="L165" s="80"/>
      <c r="M165" s="81">
        <f t="shared" si="17"/>
        <v>20658.7</v>
      </c>
      <c r="N165" s="81">
        <f t="shared" si="18"/>
        <v>11021.5</v>
      </c>
      <c r="O165" s="81">
        <f>SUM(M165*'Factors &amp; Percentages'!$E$6+N165*'Factors &amp; Percentages'!$E$7)</f>
        <v>2310.7571393674243</v>
      </c>
      <c r="P165" s="82">
        <v>0.25</v>
      </c>
      <c r="Q165" s="81">
        <f>P165*'Factors &amp; Percentages'!$E$10</f>
        <v>2741.3939477921858</v>
      </c>
      <c r="R165" s="83">
        <v>341</v>
      </c>
      <c r="S165" s="81">
        <f>R165*'Factors &amp; Percentages'!$E$13</f>
        <v>605.50705830646939</v>
      </c>
      <c r="T165" s="84">
        <v>18</v>
      </c>
      <c r="U165" s="84">
        <v>21</v>
      </c>
      <c r="V165" s="84">
        <v>1752</v>
      </c>
      <c r="W165" s="81">
        <f>T165*'Factors &amp; Percentages'!$E$16+U165*'Factors &amp; Percentages'!$E$17+V165*'Factors &amp; Percentages'!$E$18</f>
        <v>2741.8843119288335</v>
      </c>
      <c r="X165" s="113"/>
      <c r="Y165" s="81">
        <f t="shared" si="19"/>
        <v>8399.5424573949131</v>
      </c>
      <c r="Z165" s="85">
        <f t="shared" si="20"/>
        <v>8399.5424573949131</v>
      </c>
      <c r="AA165" s="80">
        <f>IF($AE165&gt;$Z165,$AE165*(1+'Factors &amp; Percentages'!$B$3),IF($Y165&gt;$Z165,$Z165,IF($Y165&gt;$AE165,$Y165,$AE165*(1+'Factors &amp; Percentages'!$B$3))))</f>
        <v>12027.75</v>
      </c>
      <c r="AB165" s="80">
        <f t="shared" si="21"/>
        <v>12027.75</v>
      </c>
      <c r="AC165" s="85"/>
      <c r="AD165" s="80">
        <f t="shared" si="22"/>
        <v>12027.75</v>
      </c>
      <c r="AE165" s="86">
        <v>11455</v>
      </c>
      <c r="AF165" s="87"/>
      <c r="AG165" s="88"/>
      <c r="AH165" s="88"/>
      <c r="AI165" s="88"/>
      <c r="AJ165" s="5"/>
    </row>
    <row r="166" spans="1:36" x14ac:dyDescent="0.3">
      <c r="A166" s="91" t="s">
        <v>161</v>
      </c>
      <c r="B166" s="76" t="s">
        <v>43</v>
      </c>
      <c r="C166" s="76" t="s">
        <v>145</v>
      </c>
      <c r="D166" s="31"/>
      <c r="E166" s="43">
        <f t="shared" si="23"/>
        <v>40320</v>
      </c>
      <c r="F166" s="29"/>
      <c r="G166" s="51">
        <v>58967</v>
      </c>
      <c r="H166" s="59">
        <v>72037</v>
      </c>
      <c r="I166" s="51">
        <v>42701</v>
      </c>
      <c r="J166" s="59">
        <v>7350</v>
      </c>
      <c r="K166" s="49">
        <v>2086</v>
      </c>
      <c r="L166" s="29"/>
      <c r="M166" s="62">
        <f t="shared" si="17"/>
        <v>72245.600000000006</v>
      </c>
      <c r="N166" s="58">
        <f t="shared" si="18"/>
        <v>43436</v>
      </c>
      <c r="O166" s="46">
        <f>SUM(M166*'Factors &amp; Percentages'!$E$6+N166*'Factors &amp; Percentages'!$E$7)</f>
        <v>8367.4267332391973</v>
      </c>
      <c r="P166" s="65">
        <v>0.75</v>
      </c>
      <c r="Q166" s="46">
        <f>P166*'Factors &amp; Percentages'!$E$10</f>
        <v>8224.1818433765584</v>
      </c>
      <c r="R166" s="69">
        <v>2589</v>
      </c>
      <c r="S166" s="46">
        <f>R166*'Factors &amp; Percentages'!$E$13</f>
        <v>4597.2368737696461</v>
      </c>
      <c r="T166" s="63">
        <v>50</v>
      </c>
      <c r="U166" s="64">
        <v>97</v>
      </c>
      <c r="V166" s="63">
        <v>12469</v>
      </c>
      <c r="W166" s="46">
        <f>T166*'Factors &amp; Percentages'!$E$16+U166*'Factors &amp; Percentages'!$E$17+V166*'Factors &amp; Percentages'!$E$18</f>
        <v>9628.1924419028801</v>
      </c>
      <c r="X166" s="114"/>
      <c r="Y166" s="58">
        <f t="shared" si="19"/>
        <v>30817.037892288281</v>
      </c>
      <c r="Z166" s="71">
        <f t="shared" si="20"/>
        <v>30817.037892288281</v>
      </c>
      <c r="AA166" s="51">
        <f>IF($AE166&gt;$Z166,$AE166*(1+'Factors &amp; Percentages'!$B$3),IF($Y166&gt;$Z166,$Z166,IF($Y166&gt;$AE166,$Y166,$AE166*(1+'Factors &amp; Percentages'!$B$3))))</f>
        <v>40320</v>
      </c>
      <c r="AB166" s="59">
        <f t="shared" si="21"/>
        <v>40320</v>
      </c>
      <c r="AC166" s="42"/>
      <c r="AD166" s="43">
        <f t="shared" si="22"/>
        <v>40320</v>
      </c>
      <c r="AE166" s="75">
        <v>38400</v>
      </c>
      <c r="AF166" s="32"/>
      <c r="AG166" s="33"/>
      <c r="AH166" s="33"/>
      <c r="AI166" s="33"/>
      <c r="AJ166" s="5"/>
    </row>
    <row r="167" spans="1:36" s="89" customFormat="1" x14ac:dyDescent="0.3">
      <c r="A167" s="90" t="s">
        <v>18</v>
      </c>
      <c r="B167" s="78" t="s">
        <v>8</v>
      </c>
      <c r="C167" s="78" t="s">
        <v>8</v>
      </c>
      <c r="D167" s="79"/>
      <c r="E167" s="80">
        <f t="shared" si="23"/>
        <v>45360</v>
      </c>
      <c r="F167" s="80"/>
      <c r="G167" s="80">
        <f>73683-7280</f>
        <v>66403</v>
      </c>
      <c r="H167" s="80">
        <v>94536</v>
      </c>
      <c r="I167" s="80">
        <v>113031</v>
      </c>
      <c r="J167" s="80">
        <v>6933</v>
      </c>
      <c r="K167" s="80">
        <v>128</v>
      </c>
      <c r="L167" s="80"/>
      <c r="M167" s="81">
        <f t="shared" si="17"/>
        <v>94548.800000000003</v>
      </c>
      <c r="N167" s="81">
        <f t="shared" si="18"/>
        <v>113724.3</v>
      </c>
      <c r="O167" s="81">
        <f>SUM(M167*'Factors &amp; Percentages'!$E$6+N167*'Factors &amp; Percentages'!$E$7)</f>
        <v>14280.887153201962</v>
      </c>
      <c r="P167" s="82">
        <v>0.7</v>
      </c>
      <c r="Q167" s="81">
        <f>P167*'Factors &amp; Percentages'!$E$10</f>
        <v>7675.9030538181196</v>
      </c>
      <c r="R167" s="83">
        <v>2241</v>
      </c>
      <c r="S167" s="81">
        <f>R167*'Factors &amp; Percentages'!$E$13</f>
        <v>3979.3000518029266</v>
      </c>
      <c r="T167" s="84">
        <v>55</v>
      </c>
      <c r="U167" s="84">
        <v>114</v>
      </c>
      <c r="V167" s="84">
        <v>10143</v>
      </c>
      <c r="W167" s="81">
        <f>T167*'Factors &amp; Percentages'!$E$16+U167*'Factors &amp; Percentages'!$E$17+V167*'Factors &amp; Percentages'!$E$18</f>
        <v>10102.509630133578</v>
      </c>
      <c r="X167" s="113"/>
      <c r="Y167" s="81">
        <f t="shared" si="19"/>
        <v>36038.599888956582</v>
      </c>
      <c r="Z167" s="85">
        <f t="shared" si="20"/>
        <v>36038.599888956582</v>
      </c>
      <c r="AA167" s="80">
        <f>IF($AE167&gt;$Z167,$AE167*(1+'Factors &amp; Percentages'!$B$3),IF($Y167&gt;$Z167,$Z167,IF($Y167&gt;$AE167,$Y167,$AE167*(1+'Factors &amp; Percentages'!$B$3))))</f>
        <v>45360</v>
      </c>
      <c r="AB167" s="80">
        <f t="shared" si="21"/>
        <v>45360</v>
      </c>
      <c r="AC167" s="85"/>
      <c r="AD167" s="80">
        <f t="shared" si="22"/>
        <v>45360</v>
      </c>
      <c r="AE167" s="86">
        <v>43200</v>
      </c>
      <c r="AF167" s="87"/>
      <c r="AG167" s="88"/>
      <c r="AH167" s="88"/>
      <c r="AI167" s="88"/>
      <c r="AJ167" s="5"/>
    </row>
    <row r="168" spans="1:36" x14ac:dyDescent="0.3">
      <c r="A168" s="91" t="s">
        <v>180</v>
      </c>
      <c r="B168" s="76" t="s">
        <v>8</v>
      </c>
      <c r="C168" s="76" t="s">
        <v>175</v>
      </c>
      <c r="D168" s="31"/>
      <c r="E168" s="43">
        <f t="shared" si="23"/>
        <v>14507.943621582333</v>
      </c>
      <c r="F168" s="29"/>
      <c r="G168" s="51">
        <v>8311</v>
      </c>
      <c r="H168" s="59">
        <v>8632</v>
      </c>
      <c r="I168" s="51">
        <v>23409</v>
      </c>
      <c r="J168" s="59">
        <v>12119</v>
      </c>
      <c r="K168" s="49">
        <v>311</v>
      </c>
      <c r="L168" s="29"/>
      <c r="M168" s="62">
        <f t="shared" si="17"/>
        <v>8663.1</v>
      </c>
      <c r="N168" s="58">
        <f t="shared" si="18"/>
        <v>24620.9</v>
      </c>
      <c r="O168" s="46">
        <f>SUM(M168*'Factors &amp; Percentages'!$E$6+N168*'Factors &amp; Percentages'!$E$7)</f>
        <v>2139.968828585158</v>
      </c>
      <c r="P168" s="65">
        <v>0.25</v>
      </c>
      <c r="Q168" s="46">
        <f>P168*'Factors &amp; Percentages'!$E$10</f>
        <v>2741.3939477921858</v>
      </c>
      <c r="R168" s="69">
        <v>2650</v>
      </c>
      <c r="S168" s="46">
        <f>R168*'Factors &amp; Percentages'!$E$13</f>
        <v>4705.5533856661114</v>
      </c>
      <c r="T168" s="63">
        <v>38</v>
      </c>
      <c r="U168" s="64">
        <v>26</v>
      </c>
      <c r="V168" s="63">
        <v>593</v>
      </c>
      <c r="W168" s="46">
        <f>T168*'Factors &amp; Percentages'!$E$16+U168*'Factors &amp; Percentages'!$E$17+V168*'Factors &amp; Percentages'!$E$18</f>
        <v>4921.0274595388773</v>
      </c>
      <c r="X168" s="114"/>
      <c r="Y168" s="58">
        <f t="shared" si="19"/>
        <v>14507.943621582333</v>
      </c>
      <c r="Z168" s="71">
        <f t="shared" si="20"/>
        <v>14507.943621582333</v>
      </c>
      <c r="AA168" s="51">
        <f>IF($AE168&gt;$Z168,$AE168*(1+'Factors &amp; Percentages'!$B$3),IF($Y168&gt;$Z168,$Z168,IF($Y168&gt;$AE168,$Y168,$AE168*(1+'Factors &amp; Percentages'!$B$3))))</f>
        <v>14507.943621582333</v>
      </c>
      <c r="AB168" s="59">
        <f t="shared" si="21"/>
        <v>14507.943621582333</v>
      </c>
      <c r="AC168" s="42"/>
      <c r="AD168" s="43">
        <f t="shared" si="22"/>
        <v>14507.943621582333</v>
      </c>
      <c r="AE168" s="75">
        <v>4500</v>
      </c>
      <c r="AF168" s="32"/>
      <c r="AG168" s="33"/>
      <c r="AH168" s="33"/>
      <c r="AI168" s="33"/>
      <c r="AJ168" s="5"/>
    </row>
    <row r="169" spans="1:36" s="89" customFormat="1" x14ac:dyDescent="0.3">
      <c r="A169" s="90" t="s">
        <v>40</v>
      </c>
      <c r="B169" s="78" t="s">
        <v>8</v>
      </c>
      <c r="C169" s="78" t="s">
        <v>30</v>
      </c>
      <c r="D169" s="79"/>
      <c r="E169" s="80">
        <f t="shared" si="23"/>
        <v>30546.659658777309</v>
      </c>
      <c r="F169" s="80"/>
      <c r="G169" s="80">
        <v>27176</v>
      </c>
      <c r="H169" s="80">
        <v>22123</v>
      </c>
      <c r="I169" s="80">
        <v>72194</v>
      </c>
      <c r="J169" s="80">
        <v>91936</v>
      </c>
      <c r="K169" s="80">
        <v>0</v>
      </c>
      <c r="L169" s="80"/>
      <c r="M169" s="81">
        <f t="shared" si="17"/>
        <v>22123</v>
      </c>
      <c r="N169" s="81">
        <f t="shared" si="18"/>
        <v>81387.600000000006</v>
      </c>
      <c r="O169" s="81">
        <f>SUM(M169*'Factors &amp; Percentages'!$E$6+N169*'Factors &amp; Percentages'!$E$7)</f>
        <v>6548.8081319788998</v>
      </c>
      <c r="P169" s="82">
        <v>0.5</v>
      </c>
      <c r="Q169" s="81">
        <f>P169*'Factors &amp; Percentages'!$E$10</f>
        <v>5482.7878955843717</v>
      </c>
      <c r="R169" s="83">
        <v>5925</v>
      </c>
      <c r="S169" s="81">
        <f>R169*'Factors &amp; Percentages'!$E$13</f>
        <v>10520.907098140267</v>
      </c>
      <c r="T169" s="84">
        <v>60</v>
      </c>
      <c r="U169" s="84">
        <v>48</v>
      </c>
      <c r="V169" s="84">
        <v>1510</v>
      </c>
      <c r="W169" s="81">
        <f>T169*'Factors &amp; Percentages'!$E$16+U169*'Factors &amp; Percentages'!$E$17+V169*'Factors &amp; Percentages'!$E$18</f>
        <v>7994.1565330737712</v>
      </c>
      <c r="X169" s="113"/>
      <c r="Y169" s="81">
        <f t="shared" si="19"/>
        <v>30546.659658777309</v>
      </c>
      <c r="Z169" s="85">
        <f t="shared" si="20"/>
        <v>30546.659658777309</v>
      </c>
      <c r="AA169" s="80">
        <f>IF($AE169&gt;$Z169,$AE169*(1+'Factors &amp; Percentages'!$B$3),IF($Y169&gt;$Z169,$Z169,IF($Y169&gt;$AE169,$Y169,$AE169*(1+'Factors &amp; Percentages'!$B$3))))</f>
        <v>30546.659658777309</v>
      </c>
      <c r="AB169" s="80">
        <f t="shared" si="21"/>
        <v>30546.659658777309</v>
      </c>
      <c r="AC169" s="85"/>
      <c r="AD169" s="80">
        <f t="shared" si="22"/>
        <v>30546.659658777309</v>
      </c>
      <c r="AE169" s="86">
        <v>10500</v>
      </c>
      <c r="AF169" s="87"/>
      <c r="AG169" s="88"/>
      <c r="AH169" s="88"/>
      <c r="AI169" s="88"/>
      <c r="AJ169" s="5"/>
    </row>
    <row r="170" spans="1:36" x14ac:dyDescent="0.3">
      <c r="A170" s="91" t="s">
        <v>242</v>
      </c>
      <c r="B170" s="76" t="s">
        <v>8</v>
      </c>
      <c r="C170" s="76" t="s">
        <v>175</v>
      </c>
      <c r="D170" s="31"/>
      <c r="E170" s="43">
        <f t="shared" si="23"/>
        <v>23541.528955625407</v>
      </c>
      <c r="F170" s="29"/>
      <c r="G170" s="51">
        <f>33323-500</f>
        <v>32823</v>
      </c>
      <c r="H170" s="59">
        <v>40094</v>
      </c>
      <c r="I170" s="51">
        <v>107918</v>
      </c>
      <c r="J170" s="59">
        <v>178641</v>
      </c>
      <c r="K170" s="49">
        <v>21624</v>
      </c>
      <c r="L170" s="29"/>
      <c r="M170" s="62">
        <f t="shared" si="17"/>
        <v>42256.4</v>
      </c>
      <c r="N170" s="58">
        <f t="shared" si="18"/>
        <v>125782.1</v>
      </c>
      <c r="O170" s="46">
        <f>SUM(M170*'Factors &amp; Percentages'!$E$6+N170*'Factors &amp; Percentages'!$E$7)</f>
        <v>10771.239022223102</v>
      </c>
      <c r="P170" s="65">
        <v>0.25</v>
      </c>
      <c r="Q170" s="46">
        <f>P170*'Factors &amp; Percentages'!$E$10</f>
        <v>2741.3939477921858</v>
      </c>
      <c r="R170" s="69">
        <v>3018</v>
      </c>
      <c r="S170" s="46">
        <f>R170*'Factors &amp; Percentages'!$E$13</f>
        <v>5359.0038180906886</v>
      </c>
      <c r="T170" s="63">
        <v>25</v>
      </c>
      <c r="U170" s="64">
        <v>72</v>
      </c>
      <c r="V170" s="63">
        <v>2971</v>
      </c>
      <c r="W170" s="46">
        <f>T170*'Factors &amp; Percentages'!$E$16+U170*'Factors &amp; Percentages'!$E$17+V170*'Factors &amp; Percentages'!$E$18</f>
        <v>4669.8921675194297</v>
      </c>
      <c r="X170" s="114"/>
      <c r="Y170" s="58">
        <f t="shared" si="19"/>
        <v>23541.528955625407</v>
      </c>
      <c r="Z170" s="71">
        <f t="shared" si="20"/>
        <v>23541.528955625407</v>
      </c>
      <c r="AA170" s="51">
        <f>IF($AE170&gt;$Z170,$AE170*(1+'Factors &amp; Percentages'!$B$3),IF($Y170&gt;$Z170,$Z170,IF($Y170&gt;$AE170,$Y170,$AE170*(1+'Factors &amp; Percentages'!$B$3))))</f>
        <v>23541.528955625407</v>
      </c>
      <c r="AB170" s="59">
        <f t="shared" si="21"/>
        <v>23541.528955625407</v>
      </c>
      <c r="AC170" s="42"/>
      <c r="AD170" s="43">
        <f t="shared" si="22"/>
        <v>23541.528955625407</v>
      </c>
      <c r="AE170" s="75">
        <v>12000</v>
      </c>
      <c r="AF170" s="32"/>
      <c r="AG170" s="33"/>
      <c r="AH170" s="33"/>
      <c r="AI170" s="33"/>
      <c r="AJ170" s="5"/>
    </row>
    <row r="171" spans="1:36" s="89" customFormat="1" x14ac:dyDescent="0.3">
      <c r="A171" s="90" t="s">
        <v>173</v>
      </c>
      <c r="B171" s="78" t="s">
        <v>75</v>
      </c>
      <c r="C171" s="78" t="s">
        <v>163</v>
      </c>
      <c r="D171" s="79"/>
      <c r="E171" s="80">
        <f t="shared" ref="E171:E202" si="24">+AB171</f>
        <v>50871.450000000004</v>
      </c>
      <c r="F171" s="80"/>
      <c r="G171" s="80">
        <f>61875-21284</f>
        <v>40591</v>
      </c>
      <c r="H171" s="80">
        <v>42355</v>
      </c>
      <c r="I171" s="80">
        <v>45934</v>
      </c>
      <c r="J171" s="80">
        <v>97188</v>
      </c>
      <c r="K171" s="80">
        <v>1185</v>
      </c>
      <c r="L171" s="80"/>
      <c r="M171" s="81">
        <f t="shared" si="17"/>
        <v>42473.5</v>
      </c>
      <c r="N171" s="81">
        <f t="shared" si="18"/>
        <v>55652.800000000003</v>
      </c>
      <c r="O171" s="81">
        <f>SUM(M171*'Factors &amp; Percentages'!$E$6+N171*'Factors &amp; Percentages'!$E$7)</f>
        <v>6682.6019286328037</v>
      </c>
      <c r="P171" s="82">
        <v>1</v>
      </c>
      <c r="Q171" s="81">
        <f>P171*'Factors &amp; Percentages'!$E$10</f>
        <v>10965.575791168743</v>
      </c>
      <c r="R171" s="83">
        <v>780</v>
      </c>
      <c r="S171" s="81">
        <f>R171*'Factors &amp; Percentages'!$E$13</f>
        <v>1385.0308078564403</v>
      </c>
      <c r="T171" s="84">
        <v>38</v>
      </c>
      <c r="U171" s="84">
        <v>84</v>
      </c>
      <c r="V171" s="84">
        <v>21381</v>
      </c>
      <c r="W171" s="81">
        <f>T171*'Factors &amp; Percentages'!$E$16+U171*'Factors &amp; Percentages'!$E$17+V171*'Factors &amp; Percentages'!$E$18</f>
        <v>9565.8991315821222</v>
      </c>
      <c r="X171" s="113"/>
      <c r="Y171" s="81">
        <f t="shared" si="19"/>
        <v>28599.107659240111</v>
      </c>
      <c r="Z171" s="85">
        <f t="shared" si="20"/>
        <v>28599.107659240111</v>
      </c>
      <c r="AA171" s="80">
        <f>IF($AE171&gt;$Z171,$AE171*(1+'Factors &amp; Percentages'!$B$3),IF($Y171&gt;$Z171,$Z171,IF($Y171&gt;$AE171,$Y171,$AE171*(1+'Factors &amp; Percentages'!$B$3))))</f>
        <v>50871.450000000004</v>
      </c>
      <c r="AB171" s="80">
        <f t="shared" si="21"/>
        <v>50871.450000000004</v>
      </c>
      <c r="AC171" s="85"/>
      <c r="AD171" s="80">
        <f t="shared" si="22"/>
        <v>50871.450000000004</v>
      </c>
      <c r="AE171" s="86">
        <v>48449</v>
      </c>
      <c r="AF171" s="87"/>
      <c r="AG171" s="88"/>
      <c r="AH171" s="88"/>
      <c r="AI171" s="88"/>
      <c r="AJ171" s="5"/>
    </row>
    <row r="172" spans="1:36" x14ac:dyDescent="0.3">
      <c r="A172" s="91" t="s">
        <v>193</v>
      </c>
      <c r="B172" s="76" t="s">
        <v>8</v>
      </c>
      <c r="C172" s="76" t="s">
        <v>185</v>
      </c>
      <c r="D172" s="31"/>
      <c r="E172" s="43">
        <f t="shared" si="24"/>
        <v>28197.75</v>
      </c>
      <c r="F172" s="29"/>
      <c r="G172" s="51">
        <f>40716-1983</f>
        <v>38733</v>
      </c>
      <c r="H172" s="59">
        <v>41543</v>
      </c>
      <c r="I172" s="51">
        <v>11151</v>
      </c>
      <c r="J172" s="59">
        <v>5487</v>
      </c>
      <c r="K172" s="49">
        <v>3823</v>
      </c>
      <c r="L172" s="29"/>
      <c r="M172" s="62">
        <f t="shared" si="17"/>
        <v>41925.300000000003</v>
      </c>
      <c r="N172" s="58">
        <f t="shared" si="18"/>
        <v>11699.7</v>
      </c>
      <c r="O172" s="46">
        <f>SUM(M172*'Factors &amp; Percentages'!$E$6+N172*'Factors &amp; Percentages'!$E$7)</f>
        <v>4064.9108950873069</v>
      </c>
      <c r="P172" s="65">
        <v>1</v>
      </c>
      <c r="Q172" s="46">
        <f>P172*'Factors &amp; Percentages'!$E$10</f>
        <v>10965.575791168743</v>
      </c>
      <c r="R172" s="69">
        <v>295</v>
      </c>
      <c r="S172" s="46">
        <f>R172*'Factors &amp; Percentages'!$E$13</f>
        <v>523.82575425339735</v>
      </c>
      <c r="T172" s="63">
        <v>24</v>
      </c>
      <c r="U172" s="64">
        <v>48</v>
      </c>
      <c r="V172" s="63">
        <v>20265</v>
      </c>
      <c r="W172" s="46">
        <f>T172*'Factors &amp; Percentages'!$E$16+U172*'Factors &amp; Percentages'!$E$17+V172*'Factors &amp; Percentages'!$E$18</f>
        <v>7123.2387527303881</v>
      </c>
      <c r="X172" s="114"/>
      <c r="Y172" s="58">
        <f t="shared" si="19"/>
        <v>22677.551193239837</v>
      </c>
      <c r="Z172" s="71">
        <f t="shared" si="20"/>
        <v>22677.551193239837</v>
      </c>
      <c r="AA172" s="51">
        <f>IF($AE172&gt;$Z172,$AE172*(1+'Factors &amp; Percentages'!$B$3),IF($Y172&gt;$Z172,$Z172,IF($Y172&gt;$AE172,$Y172,$AE172*(1+'Factors &amp; Percentages'!$B$3))))</f>
        <v>28197.75</v>
      </c>
      <c r="AB172" s="59">
        <f t="shared" si="21"/>
        <v>28197.75</v>
      </c>
      <c r="AC172" s="42"/>
      <c r="AD172" s="43">
        <f t="shared" si="22"/>
        <v>28197.75</v>
      </c>
      <c r="AE172" s="75">
        <v>26855</v>
      </c>
      <c r="AF172" s="32"/>
      <c r="AG172" s="33"/>
      <c r="AH172" s="33"/>
      <c r="AI172" s="33"/>
      <c r="AJ172" s="5"/>
    </row>
    <row r="173" spans="1:36" s="89" customFormat="1" x14ac:dyDescent="0.3">
      <c r="A173" s="90" t="s">
        <v>194</v>
      </c>
      <c r="B173" s="78" t="s">
        <v>8</v>
      </c>
      <c r="C173" s="78" t="s">
        <v>185</v>
      </c>
      <c r="D173" s="79"/>
      <c r="E173" s="80">
        <f t="shared" si="24"/>
        <v>46975.981806823125</v>
      </c>
      <c r="F173" s="80"/>
      <c r="G173" s="80">
        <f>60508-2000-1350</f>
        <v>57158</v>
      </c>
      <c r="H173" s="80">
        <v>72221</v>
      </c>
      <c r="I173" s="80">
        <v>145324</v>
      </c>
      <c r="J173" s="80">
        <v>62526</v>
      </c>
      <c r="K173" s="80">
        <v>5263</v>
      </c>
      <c r="L173" s="80"/>
      <c r="M173" s="81">
        <f t="shared" si="17"/>
        <v>72747.3</v>
      </c>
      <c r="N173" s="81">
        <f t="shared" si="18"/>
        <v>151576.6</v>
      </c>
      <c r="O173" s="81">
        <f>SUM(M173*'Factors &amp; Percentages'!$E$6+N173*'Factors &amp; Percentages'!$E$7)</f>
        <v>14739.60988849043</v>
      </c>
      <c r="P173" s="82">
        <v>1</v>
      </c>
      <c r="Q173" s="81">
        <f>P173*'Factors &amp; Percentages'!$E$10</f>
        <v>10965.575791168743</v>
      </c>
      <c r="R173" s="83">
        <v>9013</v>
      </c>
      <c r="S173" s="81">
        <f>R173*'Factors &amp; Percentages'!$E$13</f>
        <v>16004.208552833457</v>
      </c>
      <c r="T173" s="84">
        <v>21</v>
      </c>
      <c r="U173" s="84">
        <v>96</v>
      </c>
      <c r="V173" s="84">
        <v>6571</v>
      </c>
      <c r="W173" s="81">
        <f>T173*'Factors &amp; Percentages'!$E$16+U173*'Factors &amp; Percentages'!$E$17+V173*'Factors &amp; Percentages'!$E$18</f>
        <v>5266.5875743304923</v>
      </c>
      <c r="X173" s="113"/>
      <c r="Y173" s="81">
        <f t="shared" si="19"/>
        <v>46975.981806823125</v>
      </c>
      <c r="Z173" s="85">
        <f t="shared" si="20"/>
        <v>46975.981806823125</v>
      </c>
      <c r="AA173" s="80">
        <f>IF($AE173&gt;$Z173,$AE173*(1+'Factors &amp; Percentages'!$B$3),IF($Y173&gt;$Z173,$Z173,IF($Y173&gt;$AE173,$Y173,$AE173*(1+'Factors &amp; Percentages'!$B$3))))</f>
        <v>46975.981806823125</v>
      </c>
      <c r="AB173" s="80">
        <f t="shared" si="21"/>
        <v>46975.981806823125</v>
      </c>
      <c r="AC173" s="85"/>
      <c r="AD173" s="80">
        <f t="shared" si="22"/>
        <v>46975.981806823125</v>
      </c>
      <c r="AE173" s="86">
        <v>41000</v>
      </c>
      <c r="AF173" s="87"/>
      <c r="AG173" s="88"/>
      <c r="AH173" s="88"/>
      <c r="AI173" s="88"/>
      <c r="AJ173" s="5"/>
    </row>
    <row r="174" spans="1:36" x14ac:dyDescent="0.3">
      <c r="A174" s="91" t="s">
        <v>195</v>
      </c>
      <c r="B174" s="76" t="s">
        <v>8</v>
      </c>
      <c r="C174" s="76" t="s">
        <v>185</v>
      </c>
      <c r="D174" s="31"/>
      <c r="E174" s="43">
        <f t="shared" si="24"/>
        <v>49451.182151013782</v>
      </c>
      <c r="F174" s="29"/>
      <c r="G174" s="51">
        <f>72675-9729</f>
        <v>62946</v>
      </c>
      <c r="H174" s="59">
        <v>77653</v>
      </c>
      <c r="I174" s="51">
        <v>95739</v>
      </c>
      <c r="J174" s="59">
        <v>0</v>
      </c>
      <c r="K174" s="49">
        <v>0</v>
      </c>
      <c r="L174" s="29"/>
      <c r="M174" s="62">
        <f t="shared" si="17"/>
        <v>77653</v>
      </c>
      <c r="N174" s="58">
        <f t="shared" si="18"/>
        <v>95739</v>
      </c>
      <c r="O174" s="46">
        <f>SUM(M174*'Factors &amp; Percentages'!$E$6+N174*'Factors &amp; Percentages'!$E$7)</f>
        <v>11865.745547053219</v>
      </c>
      <c r="P174" s="65">
        <v>1</v>
      </c>
      <c r="Q174" s="46">
        <f>P174*'Factors &amp; Percentages'!$E$10</f>
        <v>10965.575791168743</v>
      </c>
      <c r="R174" s="69">
        <v>7790</v>
      </c>
      <c r="S174" s="46">
        <f>R174*'Factors &amp; Percentages'!$E$13</f>
        <v>13832.551273335475</v>
      </c>
      <c r="T174" s="63">
        <v>66</v>
      </c>
      <c r="U174" s="64">
        <v>146</v>
      </c>
      <c r="V174" s="63">
        <v>15051</v>
      </c>
      <c r="W174" s="46">
        <f>T174*'Factors &amp; Percentages'!$E$16+U174*'Factors &amp; Percentages'!$E$17+V174*'Factors &amp; Percentages'!$E$18</f>
        <v>12787.309539456341</v>
      </c>
      <c r="X174" s="114"/>
      <c r="Y174" s="58">
        <f t="shared" si="19"/>
        <v>49451.182151013782</v>
      </c>
      <c r="Z174" s="71">
        <f t="shared" si="20"/>
        <v>49451.182151013782</v>
      </c>
      <c r="AA174" s="51">
        <f>IF($AE174&gt;$Z174,$AE174*(1+'Factors &amp; Percentages'!$B$3),IF($Y174&gt;$Z174,$Z174,IF($Y174&gt;$AE174,$Y174,$AE174*(1+'Factors &amp; Percentages'!$B$3))))</f>
        <v>49451.182151013782</v>
      </c>
      <c r="AB174" s="59">
        <f t="shared" si="21"/>
        <v>49451.182151013782</v>
      </c>
      <c r="AC174" s="42"/>
      <c r="AD174" s="43">
        <f t="shared" si="22"/>
        <v>49451.182151013782</v>
      </c>
      <c r="AE174" s="75">
        <v>40000</v>
      </c>
      <c r="AF174" s="32"/>
      <c r="AG174" s="33"/>
      <c r="AH174" s="33"/>
      <c r="AI174" s="33"/>
      <c r="AJ174" s="5"/>
    </row>
    <row r="175" spans="1:36" s="89" customFormat="1" x14ac:dyDescent="0.3">
      <c r="A175" s="90" t="s">
        <v>196</v>
      </c>
      <c r="B175" s="78" t="s">
        <v>8</v>
      </c>
      <c r="C175" s="78" t="s">
        <v>185</v>
      </c>
      <c r="D175" s="79"/>
      <c r="E175" s="80">
        <f t="shared" si="24"/>
        <v>22678.5</v>
      </c>
      <c r="F175" s="80"/>
      <c r="G175" s="80">
        <v>25590</v>
      </c>
      <c r="H175" s="80">
        <v>34890</v>
      </c>
      <c r="I175" s="80">
        <f>-80047+100418</f>
        <v>20371</v>
      </c>
      <c r="J175" s="80">
        <v>75334</v>
      </c>
      <c r="K175" s="80">
        <v>8978</v>
      </c>
      <c r="L175" s="80"/>
      <c r="M175" s="81">
        <f t="shared" si="17"/>
        <v>35787.800000000003</v>
      </c>
      <c r="N175" s="81">
        <f t="shared" si="18"/>
        <v>27904.400000000001</v>
      </c>
      <c r="O175" s="81">
        <f>SUM(M175*'Factors &amp; Percentages'!$E$6+N175*'Factors &amp; Percentages'!$E$7)</f>
        <v>4518.9265112647518</v>
      </c>
      <c r="P175" s="82">
        <v>1</v>
      </c>
      <c r="Q175" s="81">
        <f>P175*'Factors &amp; Percentages'!$E$10</f>
        <v>10965.575791168743</v>
      </c>
      <c r="R175" s="83">
        <v>1007</v>
      </c>
      <c r="S175" s="81">
        <f>R175*'Factors &amp; Percentages'!$E$13</f>
        <v>1788.1102865531225</v>
      </c>
      <c r="T175" s="84">
        <v>32</v>
      </c>
      <c r="U175" s="84">
        <v>53</v>
      </c>
      <c r="V175" s="84">
        <v>8582</v>
      </c>
      <c r="W175" s="81">
        <f>T175*'Factors &amp; Percentages'!$E$16+U175*'Factors &amp; Percentages'!$E$17+V175*'Factors &amp; Percentages'!$E$18</f>
        <v>6103.4816319335441</v>
      </c>
      <c r="X175" s="113"/>
      <c r="Y175" s="81">
        <f t="shared" si="19"/>
        <v>23376.09422092016</v>
      </c>
      <c r="Z175" s="85">
        <f t="shared" si="20"/>
        <v>22678.5</v>
      </c>
      <c r="AA175" s="80">
        <f>IF($AE175&gt;$Z175,$AE175*(1+'Factors &amp; Percentages'!$B$3),IF($Y175&gt;$Z175,$Z175,IF($Y175&gt;$AE175,$Y175,$AE175*(1+'Factors &amp; Percentages'!$B$3))))</f>
        <v>22678.5</v>
      </c>
      <c r="AB175" s="80">
        <f t="shared" si="21"/>
        <v>22678.5</v>
      </c>
      <c r="AC175" s="85"/>
      <c r="AD175" s="80">
        <f t="shared" si="22"/>
        <v>22678.5</v>
      </c>
      <c r="AE175" s="86">
        <v>11750</v>
      </c>
      <c r="AF175" s="87"/>
      <c r="AG175" s="88"/>
      <c r="AH175" s="88"/>
      <c r="AI175" s="88"/>
      <c r="AJ175" s="5"/>
    </row>
    <row r="176" spans="1:36" x14ac:dyDescent="0.3">
      <c r="A176" s="91" t="s">
        <v>197</v>
      </c>
      <c r="B176" s="76" t="s">
        <v>8</v>
      </c>
      <c r="C176" s="76" t="s">
        <v>185</v>
      </c>
      <c r="D176" s="31"/>
      <c r="E176" s="43">
        <f t="shared" si="24"/>
        <v>56700</v>
      </c>
      <c r="F176" s="29"/>
      <c r="G176" s="51">
        <f>73103</f>
        <v>73103</v>
      </c>
      <c r="H176" s="59">
        <v>91349</v>
      </c>
      <c r="I176" s="51">
        <v>60530</v>
      </c>
      <c r="J176" s="59">
        <v>31915</v>
      </c>
      <c r="K176" s="49">
        <v>22540</v>
      </c>
      <c r="L176" s="29"/>
      <c r="M176" s="62">
        <f t="shared" si="17"/>
        <v>93603</v>
      </c>
      <c r="N176" s="58">
        <f t="shared" si="18"/>
        <v>63721.5</v>
      </c>
      <c r="O176" s="46">
        <f>SUM(M176*'Factors &amp; Percentages'!$E$6+N176*'Factors &amp; Percentages'!$E$7)</f>
        <v>11276.92705183486</v>
      </c>
      <c r="P176" s="65">
        <v>0.9</v>
      </c>
      <c r="Q176" s="46">
        <f>P176*'Factors &amp; Percentages'!$E$10</f>
        <v>9869.0182120518693</v>
      </c>
      <c r="R176" s="69">
        <v>1076</v>
      </c>
      <c r="S176" s="46">
        <f>R176*'Factors &amp; Percentages'!$E$13</f>
        <v>1910.6322426327306</v>
      </c>
      <c r="T176" s="63">
        <v>60</v>
      </c>
      <c r="U176" s="64">
        <v>163</v>
      </c>
      <c r="V176" s="63">
        <v>14221</v>
      </c>
      <c r="W176" s="46">
        <f>T176*'Factors &amp; Percentages'!$E$16+U176*'Factors &amp; Percentages'!$E$17+V176*'Factors &amp; Percentages'!$E$18</f>
        <v>12261.294253841392</v>
      </c>
      <c r="X176" s="114"/>
      <c r="Y176" s="58">
        <f t="shared" si="19"/>
        <v>35317.871760360853</v>
      </c>
      <c r="Z176" s="71">
        <f t="shared" si="20"/>
        <v>35317.871760360853</v>
      </c>
      <c r="AA176" s="51">
        <f>IF($AE176&gt;$Z176,$AE176*(1+'Factors &amp; Percentages'!$B$3),IF($Y176&gt;$Z176,$Z176,IF($Y176&gt;$AE176,$Y176,$AE176*(1+'Factors &amp; Percentages'!$B$3))))</f>
        <v>56700</v>
      </c>
      <c r="AB176" s="59">
        <f t="shared" si="21"/>
        <v>56700</v>
      </c>
      <c r="AC176" s="42"/>
      <c r="AD176" s="43">
        <f t="shared" si="22"/>
        <v>56700</v>
      </c>
      <c r="AE176" s="75">
        <v>54000</v>
      </c>
      <c r="AF176" s="32"/>
      <c r="AG176" s="33"/>
      <c r="AH176" s="33"/>
      <c r="AI176" s="33"/>
      <c r="AJ176" s="5"/>
    </row>
    <row r="177" spans="1:36" s="89" customFormat="1" x14ac:dyDescent="0.3">
      <c r="A177" s="90" t="s">
        <v>198</v>
      </c>
      <c r="B177" s="78" t="s">
        <v>8</v>
      </c>
      <c r="C177" s="78" t="s">
        <v>185</v>
      </c>
      <c r="D177" s="79"/>
      <c r="E177" s="80">
        <f t="shared" si="24"/>
        <v>52500</v>
      </c>
      <c r="F177" s="80"/>
      <c r="G177" s="80">
        <f>147114-41415</f>
        <v>105699</v>
      </c>
      <c r="H177" s="80">
        <v>118639</v>
      </c>
      <c r="I177" s="80">
        <v>55423</v>
      </c>
      <c r="J177" s="80">
        <v>26879</v>
      </c>
      <c r="K177" s="80">
        <v>1985</v>
      </c>
      <c r="L177" s="80"/>
      <c r="M177" s="81">
        <f t="shared" si="17"/>
        <v>118837.5</v>
      </c>
      <c r="N177" s="81">
        <f t="shared" si="18"/>
        <v>58110.9</v>
      </c>
      <c r="O177" s="81">
        <f>SUM(M177*'Factors &amp; Percentages'!$E$6+N177*'Factors &amp; Percentages'!$E$7)</f>
        <v>12982.744686599435</v>
      </c>
      <c r="P177" s="82">
        <v>1</v>
      </c>
      <c r="Q177" s="81">
        <f>P177*'Factors &amp; Percentages'!$E$10</f>
        <v>10965.575791168743</v>
      </c>
      <c r="R177" s="83">
        <v>28</v>
      </c>
      <c r="S177" s="81">
        <f>R177*'Factors &amp; Percentages'!$E$13</f>
        <v>49.719054641000426</v>
      </c>
      <c r="T177" s="84">
        <v>90</v>
      </c>
      <c r="U177" s="84">
        <v>57</v>
      </c>
      <c r="V177" s="84">
        <v>7516</v>
      </c>
      <c r="W177" s="81">
        <f>T177*'Factors &amp; Percentages'!$E$16+U177*'Factors &amp; Percentages'!$E$17+V177*'Factors &amp; Percentages'!$E$18</f>
        <v>12632.538548857479</v>
      </c>
      <c r="X177" s="113"/>
      <c r="Y177" s="81">
        <f t="shared" si="19"/>
        <v>36630.578081266664</v>
      </c>
      <c r="Z177" s="85">
        <f t="shared" si="20"/>
        <v>36630.578081266664</v>
      </c>
      <c r="AA177" s="80">
        <f>IF($AE177&gt;$Z177,$AE177*(1+'Factors &amp; Percentages'!$B$3),IF($Y177&gt;$Z177,$Z177,IF($Y177&gt;$AE177,$Y177,$AE177*(1+'Factors &amp; Percentages'!$B$3))))</f>
        <v>52500</v>
      </c>
      <c r="AB177" s="80">
        <f t="shared" si="21"/>
        <v>52500</v>
      </c>
      <c r="AC177" s="85"/>
      <c r="AD177" s="80">
        <f t="shared" si="22"/>
        <v>52500</v>
      </c>
      <c r="AE177" s="86">
        <v>50000</v>
      </c>
      <c r="AF177" s="87"/>
      <c r="AG177" s="88"/>
      <c r="AH177" s="88"/>
      <c r="AI177" s="88"/>
      <c r="AJ177" s="5"/>
    </row>
    <row r="178" spans="1:36" x14ac:dyDescent="0.3">
      <c r="A178" s="91" t="s">
        <v>144</v>
      </c>
      <c r="B178" s="76" t="s">
        <v>8</v>
      </c>
      <c r="C178" s="76" t="s">
        <v>132</v>
      </c>
      <c r="D178" s="31"/>
      <c r="E178" s="43">
        <f t="shared" si="24"/>
        <v>40713.75</v>
      </c>
      <c r="F178" s="29"/>
      <c r="G178" s="51">
        <f>104883-1604</f>
        <v>103279</v>
      </c>
      <c r="H178" s="59">
        <v>112811</v>
      </c>
      <c r="I178" s="51">
        <v>20386</v>
      </c>
      <c r="J178" s="59">
        <v>41972</v>
      </c>
      <c r="K178" s="49">
        <v>29742</v>
      </c>
      <c r="L178" s="29"/>
      <c r="M178" s="62">
        <f t="shared" si="17"/>
        <v>115785.2</v>
      </c>
      <c r="N178" s="58">
        <f t="shared" si="18"/>
        <v>24583.200000000001</v>
      </c>
      <c r="O178" s="46">
        <f>SUM(M178*'Factors &amp; Percentages'!$E$6+N178*'Factors &amp; Percentages'!$E$7)</f>
        <v>10773.598563061771</v>
      </c>
      <c r="P178" s="65">
        <v>0.66</v>
      </c>
      <c r="Q178" s="46">
        <f>P178*'Factors &amp; Percentages'!$E$10</f>
        <v>7237.2800221713705</v>
      </c>
      <c r="R178" s="69">
        <v>298</v>
      </c>
      <c r="S178" s="46">
        <f>R178*'Factors &amp; Percentages'!$E$13</f>
        <v>529.15279582207597</v>
      </c>
      <c r="T178" s="63">
        <v>60</v>
      </c>
      <c r="U178" s="64">
        <v>93</v>
      </c>
      <c r="V178" s="63">
        <v>8502</v>
      </c>
      <c r="W178" s="46">
        <f>T178*'Factors &amp; Percentages'!$E$16+U178*'Factors &amp; Percentages'!$E$17+V178*'Factors &amp; Percentages'!$E$18</f>
        <v>10013.813050167955</v>
      </c>
      <c r="X178" s="114"/>
      <c r="Y178" s="58">
        <f t="shared" si="19"/>
        <v>28553.844431223173</v>
      </c>
      <c r="Z178" s="71">
        <f t="shared" si="20"/>
        <v>28553.844431223173</v>
      </c>
      <c r="AA178" s="51">
        <f>IF($AE178&gt;$Z178,$AE178*(1+'Factors &amp; Percentages'!$B$3),IF($Y178&gt;$Z178,$Z178,IF($Y178&gt;$AE178,$Y178,$AE178*(1+'Factors &amp; Percentages'!$B$3))))</f>
        <v>40713.75</v>
      </c>
      <c r="AB178" s="59">
        <f t="shared" si="21"/>
        <v>40713.75</v>
      </c>
      <c r="AC178" s="42"/>
      <c r="AD178" s="43">
        <f t="shared" si="22"/>
        <v>40713.75</v>
      </c>
      <c r="AE178" s="75">
        <v>38775</v>
      </c>
      <c r="AF178" s="32"/>
      <c r="AG178" s="33"/>
      <c r="AH178" s="33"/>
      <c r="AI178" s="33"/>
      <c r="AJ178" s="5"/>
    </row>
    <row r="179" spans="1:36" s="89" customFormat="1" x14ac:dyDescent="0.3">
      <c r="A179" s="90" t="s">
        <v>200</v>
      </c>
      <c r="B179" s="78" t="s">
        <v>43</v>
      </c>
      <c r="C179" s="78" t="s">
        <v>200</v>
      </c>
      <c r="D179" s="79"/>
      <c r="E179" s="80">
        <f t="shared" si="24"/>
        <v>27584.843280895664</v>
      </c>
      <c r="F179" s="80"/>
      <c r="G179" s="80">
        <f>54911-1000</f>
        <v>53911</v>
      </c>
      <c r="H179" s="80">
        <v>47294</v>
      </c>
      <c r="I179" s="80">
        <v>20152</v>
      </c>
      <c r="J179" s="80">
        <v>2762</v>
      </c>
      <c r="K179" s="80">
        <v>4675</v>
      </c>
      <c r="L179" s="80"/>
      <c r="M179" s="81">
        <f t="shared" si="17"/>
        <v>47761.5</v>
      </c>
      <c r="N179" s="81">
        <f t="shared" si="18"/>
        <v>20428.2</v>
      </c>
      <c r="O179" s="81">
        <f>SUM(M179*'Factors &amp; Percentages'!$E$6+N179*'Factors &amp; Percentages'!$E$7)</f>
        <v>5046.468653938814</v>
      </c>
      <c r="P179" s="82">
        <v>1</v>
      </c>
      <c r="Q179" s="81">
        <f>P179*'Factors &amp; Percentages'!$E$10</f>
        <v>10965.575791168743</v>
      </c>
      <c r="R179" s="83">
        <v>779</v>
      </c>
      <c r="S179" s="81">
        <f>R179*'Factors &amp; Percentages'!$E$13</f>
        <v>1383.2551273335475</v>
      </c>
      <c r="T179" s="84">
        <v>70</v>
      </c>
      <c r="U179" s="84">
        <v>67</v>
      </c>
      <c r="V179" s="84">
        <f>11202/2</f>
        <v>5601</v>
      </c>
      <c r="W179" s="81">
        <f>T179*'Factors &amp; Percentages'!$E$16+U179*'Factors &amp; Percentages'!$E$17+V179*'Factors &amp; Percentages'!$E$18</f>
        <v>10189.543708454559</v>
      </c>
      <c r="X179" s="113"/>
      <c r="Y179" s="81">
        <f t="shared" si="19"/>
        <v>27584.843280895664</v>
      </c>
      <c r="Z179" s="85">
        <f t="shared" si="20"/>
        <v>27584.843280895664</v>
      </c>
      <c r="AA179" s="80">
        <f>IF($AE179&gt;$Z179,$AE179*(1+'Factors &amp; Percentages'!$B$3),IF($Y179&gt;$Z179,$Z179,IF($Y179&gt;$AE179,$Y179,$AE179*(1+'Factors &amp; Percentages'!$B$3))))</f>
        <v>27584.843280895664</v>
      </c>
      <c r="AB179" s="80">
        <f t="shared" si="21"/>
        <v>27584.843280895664</v>
      </c>
      <c r="AC179" s="85"/>
      <c r="AD179" s="80">
        <f t="shared" si="22"/>
        <v>27584.843280895664</v>
      </c>
      <c r="AE179" s="86">
        <v>1200</v>
      </c>
      <c r="AF179" s="87"/>
      <c r="AG179" s="88"/>
      <c r="AH179" s="88"/>
      <c r="AI179" s="88"/>
      <c r="AJ179" s="5"/>
    </row>
    <row r="180" spans="1:36" x14ac:dyDescent="0.3">
      <c r="A180" s="91" t="s">
        <v>213</v>
      </c>
      <c r="B180" s="76" t="s">
        <v>43</v>
      </c>
      <c r="C180" s="76" t="s">
        <v>201</v>
      </c>
      <c r="D180" s="31"/>
      <c r="E180" s="43">
        <f t="shared" si="24"/>
        <v>35700</v>
      </c>
      <c r="F180" s="29"/>
      <c r="G180" s="51">
        <v>55167</v>
      </c>
      <c r="H180" s="59">
        <v>59312</v>
      </c>
      <c r="I180" s="51">
        <v>71641</v>
      </c>
      <c r="J180" s="59">
        <v>6112</v>
      </c>
      <c r="K180" s="49">
        <v>5954</v>
      </c>
      <c r="L180" s="29"/>
      <c r="M180" s="62">
        <f t="shared" si="17"/>
        <v>59907.4</v>
      </c>
      <c r="N180" s="58">
        <f t="shared" si="18"/>
        <v>72252.2</v>
      </c>
      <c r="O180" s="46">
        <f>SUM(M180*'Factors &amp; Percentages'!$E$6+N180*'Factors &amp; Percentages'!$E$7)</f>
        <v>9059.9776174781255</v>
      </c>
      <c r="P180" s="65">
        <v>1</v>
      </c>
      <c r="Q180" s="46">
        <f>P180*'Factors &amp; Percentages'!$E$10</f>
        <v>10965.575791168743</v>
      </c>
      <c r="R180" s="69">
        <v>1368</v>
      </c>
      <c r="S180" s="46">
        <f>R180*'Factors &amp; Percentages'!$E$13</f>
        <v>2429.1309553174492</v>
      </c>
      <c r="T180" s="63">
        <v>34</v>
      </c>
      <c r="U180" s="64">
        <v>104</v>
      </c>
      <c r="V180" s="63">
        <v>9208</v>
      </c>
      <c r="W180" s="46">
        <f>T180*'Factors &amp; Percentages'!$E$16+U180*'Factors &amp; Percentages'!$E$17+V180*'Factors &amp; Percentages'!$E$18</f>
        <v>7356.0779485282546</v>
      </c>
      <c r="X180" s="114"/>
      <c r="Y180" s="58">
        <f t="shared" si="19"/>
        <v>29810.762312492574</v>
      </c>
      <c r="Z180" s="71">
        <f t="shared" si="20"/>
        <v>29810.762312492574</v>
      </c>
      <c r="AA180" s="51">
        <f>IF($AE180&gt;$Z180,$AE180*(1+'Factors &amp; Percentages'!$B$3),IF($Y180&gt;$Z180,$Z180,IF($Y180&gt;$AE180,$Y180,$AE180*(1+'Factors &amp; Percentages'!$B$3))))</f>
        <v>35700</v>
      </c>
      <c r="AB180" s="59">
        <f t="shared" si="21"/>
        <v>35700</v>
      </c>
      <c r="AC180" s="42"/>
      <c r="AD180" s="43">
        <f t="shared" si="22"/>
        <v>35700</v>
      </c>
      <c r="AE180" s="75">
        <v>34000</v>
      </c>
      <c r="AF180" s="32"/>
      <c r="AG180" s="33"/>
      <c r="AH180" s="33"/>
      <c r="AI180" s="33"/>
      <c r="AJ180" s="5"/>
    </row>
    <row r="181" spans="1:36" s="89" customFormat="1" x14ac:dyDescent="0.3">
      <c r="A181" s="90" t="s">
        <v>214</v>
      </c>
      <c r="B181" s="78" t="s">
        <v>43</v>
      </c>
      <c r="C181" s="78" t="s">
        <v>201</v>
      </c>
      <c r="D181" s="79"/>
      <c r="E181" s="80">
        <f t="shared" si="24"/>
        <v>17800.25</v>
      </c>
      <c r="F181" s="80"/>
      <c r="G181" s="80">
        <v>27347</v>
      </c>
      <c r="H181" s="80">
        <v>27385</v>
      </c>
      <c r="I181" s="80">
        <v>12415</v>
      </c>
      <c r="J181" s="80">
        <v>0</v>
      </c>
      <c r="K181" s="80">
        <v>18098</v>
      </c>
      <c r="L181" s="80"/>
      <c r="M181" s="81">
        <f t="shared" si="17"/>
        <v>29194.799999999999</v>
      </c>
      <c r="N181" s="81">
        <f t="shared" si="18"/>
        <v>12415</v>
      </c>
      <c r="O181" s="81">
        <f>SUM(M181*'Factors &amp; Percentages'!$E$6+N181*'Factors &amp; Percentages'!$E$7)</f>
        <v>3080.5006883351361</v>
      </c>
      <c r="P181" s="82">
        <v>1</v>
      </c>
      <c r="Q181" s="81">
        <f>P181*'Factors &amp; Percentages'!$E$10</f>
        <v>10965.575791168743</v>
      </c>
      <c r="R181" s="83">
        <v>286</v>
      </c>
      <c r="S181" s="81">
        <f>R181*'Factors &amp; Percentages'!$E$13</f>
        <v>507.84462954736148</v>
      </c>
      <c r="T181" s="84">
        <v>31</v>
      </c>
      <c r="U181" s="84">
        <v>69</v>
      </c>
      <c r="V181" s="84">
        <v>9866</v>
      </c>
      <c r="W181" s="81">
        <f>T181*'Factors &amp; Percentages'!$E$16+U181*'Factors &amp; Percentages'!$E$17+V181*'Factors &amp; Percentages'!$E$18</f>
        <v>6498.6499319127815</v>
      </c>
      <c r="X181" s="113"/>
      <c r="Y181" s="81">
        <f t="shared" si="19"/>
        <v>21052.571040964023</v>
      </c>
      <c r="Z181" s="85">
        <f t="shared" si="20"/>
        <v>17800.25</v>
      </c>
      <c r="AA181" s="80">
        <f>IF($AE181&gt;$Z181,$AE181*(1+'Factors &amp; Percentages'!$B$3),IF($Y181&gt;$Z181,$Z181,IF($Y181&gt;$AE181,$Y181,$AE181*(1+'Factors &amp; Percentages'!$B$3))))</f>
        <v>17800.25</v>
      </c>
      <c r="AB181" s="80">
        <f t="shared" si="21"/>
        <v>17800.25</v>
      </c>
      <c r="AC181" s="85"/>
      <c r="AD181" s="80">
        <f t="shared" si="22"/>
        <v>17800.25</v>
      </c>
      <c r="AE181" s="86">
        <v>12000</v>
      </c>
      <c r="AF181" s="87"/>
      <c r="AG181" s="88"/>
      <c r="AH181" s="88"/>
      <c r="AI181" s="88"/>
      <c r="AJ181" s="5"/>
    </row>
    <row r="182" spans="1:36" x14ac:dyDescent="0.3">
      <c r="A182" s="91" t="s">
        <v>212</v>
      </c>
      <c r="B182" s="76" t="s">
        <v>43</v>
      </c>
      <c r="C182" s="76" t="s">
        <v>201</v>
      </c>
      <c r="D182" s="31"/>
      <c r="E182" s="43">
        <f t="shared" si="24"/>
        <v>8855.7462323663622</v>
      </c>
      <c r="F182" s="29"/>
      <c r="G182" s="51">
        <v>26521</v>
      </c>
      <c r="H182" s="59">
        <v>18231</v>
      </c>
      <c r="I182" s="51">
        <v>14629</v>
      </c>
      <c r="J182" s="59">
        <v>0</v>
      </c>
      <c r="K182" s="49">
        <v>0</v>
      </c>
      <c r="L182" s="29"/>
      <c r="M182" s="62">
        <f t="shared" si="17"/>
        <v>18231</v>
      </c>
      <c r="N182" s="58">
        <f t="shared" si="18"/>
        <v>14629</v>
      </c>
      <c r="O182" s="46">
        <f>SUM(M182*'Factors &amp; Percentages'!$E$6+N182*'Factors &amp; Percentages'!$E$7)</f>
        <v>2326.2664678037972</v>
      </c>
      <c r="P182" s="65">
        <v>0.1</v>
      </c>
      <c r="Q182" s="46">
        <f>P182*'Factors &amp; Percentages'!$E$10</f>
        <v>1096.5575791168744</v>
      </c>
      <c r="R182" s="69">
        <v>733</v>
      </c>
      <c r="S182" s="46">
        <f>R182*'Factors &amp; Percentages'!$E$13</f>
        <v>1301.5738232804754</v>
      </c>
      <c r="T182" s="63">
        <v>12</v>
      </c>
      <c r="U182" s="64">
        <v>25</v>
      </c>
      <c r="V182" s="63">
        <v>13315</v>
      </c>
      <c r="W182" s="46">
        <f>T182*'Factors &amp; Percentages'!$E$16+U182*'Factors &amp; Percentages'!$E$17+V182*'Factors &amp; Percentages'!$E$18</f>
        <v>4131.3483621652149</v>
      </c>
      <c r="X182" s="114"/>
      <c r="Y182" s="58">
        <f t="shared" si="19"/>
        <v>8855.7462323663622</v>
      </c>
      <c r="Z182" s="71">
        <f t="shared" si="20"/>
        <v>8855.7462323663622</v>
      </c>
      <c r="AA182" s="51">
        <f>IF($AE182&gt;$Z182,$AE182*(1+'Factors &amp; Percentages'!$B$3),IF($Y182&gt;$Z182,$Z182,IF($Y182&gt;$AE182,$Y182,$AE182*(1+'Factors &amp; Percentages'!$B$3))))</f>
        <v>8855.7462323663622</v>
      </c>
      <c r="AB182" s="59">
        <f t="shared" si="21"/>
        <v>8855.7462323663622</v>
      </c>
      <c r="AC182" s="42"/>
      <c r="AD182" s="43">
        <f t="shared" si="22"/>
        <v>8855.7462323663622</v>
      </c>
      <c r="AE182" s="75">
        <v>0</v>
      </c>
      <c r="AF182" s="34"/>
      <c r="AG182" s="35"/>
      <c r="AH182" s="35"/>
      <c r="AI182" s="35"/>
      <c r="AJ182" s="5"/>
    </row>
    <row r="183" spans="1:36" s="89" customFormat="1" x14ac:dyDescent="0.3">
      <c r="A183" s="90" t="s">
        <v>211</v>
      </c>
      <c r="B183" s="78" t="s">
        <v>43</v>
      </c>
      <c r="C183" s="78" t="s">
        <v>201</v>
      </c>
      <c r="D183" s="79"/>
      <c r="E183" s="80">
        <f t="shared" si="24"/>
        <v>26712.08448874496</v>
      </c>
      <c r="F183" s="80"/>
      <c r="G183" s="80">
        <v>40051</v>
      </c>
      <c r="H183" s="80">
        <v>46694</v>
      </c>
      <c r="I183" s="80">
        <v>5501</v>
      </c>
      <c r="J183" s="80">
        <v>50083</v>
      </c>
      <c r="K183" s="80">
        <v>0</v>
      </c>
      <c r="L183" s="80"/>
      <c r="M183" s="81">
        <f t="shared" si="17"/>
        <v>46694</v>
      </c>
      <c r="N183" s="81">
        <f t="shared" si="18"/>
        <v>10509.3</v>
      </c>
      <c r="O183" s="81">
        <f>SUM(M183*'Factors &amp; Percentages'!$E$6+N183*'Factors &amp; Percentages'!$E$7)</f>
        <v>4379.6489774895226</v>
      </c>
      <c r="P183" s="82">
        <v>1</v>
      </c>
      <c r="Q183" s="81">
        <f>P183*'Factors &amp; Percentages'!$E$10</f>
        <v>10965.575791168743</v>
      </c>
      <c r="R183" s="83">
        <v>2888</v>
      </c>
      <c r="S183" s="81">
        <f>R183*'Factors &amp; Percentages'!$E$13</f>
        <v>5128.1653501146147</v>
      </c>
      <c r="T183" s="84">
        <v>15</v>
      </c>
      <c r="U183" s="84">
        <v>108</v>
      </c>
      <c r="V183" s="84">
        <v>14899</v>
      </c>
      <c r="W183" s="81">
        <f>T183*'Factors &amp; Percentages'!$E$16+U183*'Factors &amp; Percentages'!$E$17+V183*'Factors &amp; Percentages'!$E$18</f>
        <v>6238.6943699720787</v>
      </c>
      <c r="X183" s="113"/>
      <c r="Y183" s="81">
        <f t="shared" si="19"/>
        <v>26712.08448874496</v>
      </c>
      <c r="Z183" s="85">
        <f t="shared" si="20"/>
        <v>26712.08448874496</v>
      </c>
      <c r="AA183" s="80">
        <f>IF($AE183&gt;$Z183,$AE183*(1+'Factors &amp; Percentages'!$B$3),IF($Y183&gt;$Z183,$Z183,IF($Y183&gt;$AE183,$Y183,$AE183*(1+'Factors &amp; Percentages'!$B$3))))</f>
        <v>26712.08448874496</v>
      </c>
      <c r="AB183" s="80">
        <f t="shared" si="21"/>
        <v>26712.08448874496</v>
      </c>
      <c r="AC183" s="85"/>
      <c r="AD183" s="80">
        <f t="shared" si="22"/>
        <v>26712.08448874496</v>
      </c>
      <c r="AE183" s="86">
        <v>16000</v>
      </c>
      <c r="AF183" s="87"/>
      <c r="AG183" s="88"/>
      <c r="AH183" s="88"/>
      <c r="AI183" s="88"/>
      <c r="AJ183" s="5"/>
    </row>
    <row r="184" spans="1:36" x14ac:dyDescent="0.3">
      <c r="A184" s="91" t="s">
        <v>221</v>
      </c>
      <c r="B184" s="76" t="s">
        <v>43</v>
      </c>
      <c r="C184" s="76" t="s">
        <v>123</v>
      </c>
      <c r="D184" s="31"/>
      <c r="E184" s="43">
        <f t="shared" si="24"/>
        <v>13482.413802707451</v>
      </c>
      <c r="F184" s="29"/>
      <c r="G184" s="51">
        <f>28127-10512</f>
        <v>17615</v>
      </c>
      <c r="H184" s="59">
        <v>23363</v>
      </c>
      <c r="I184" s="51">
        <v>53299</v>
      </c>
      <c r="J184" s="59">
        <v>0</v>
      </c>
      <c r="K184" s="49">
        <v>0</v>
      </c>
      <c r="L184" s="29"/>
      <c r="M184" s="62">
        <f t="shared" si="17"/>
        <v>23363</v>
      </c>
      <c r="N184" s="58">
        <f t="shared" si="18"/>
        <v>53299</v>
      </c>
      <c r="O184" s="46">
        <f>SUM(M184*'Factors &amp; Percentages'!$E$6+N184*'Factors &amp; Percentages'!$E$7)</f>
        <v>5004.1579626586972</v>
      </c>
      <c r="P184" s="65">
        <v>0.25</v>
      </c>
      <c r="Q184" s="46">
        <f>P184*'Factors &amp; Percentages'!$E$10</f>
        <v>2741.3939477921858</v>
      </c>
      <c r="R184" s="69">
        <v>1485</v>
      </c>
      <c r="S184" s="46">
        <f>R184*'Factors &amp; Percentages'!$E$13</f>
        <v>2636.8855764959153</v>
      </c>
      <c r="T184" s="63">
        <v>17</v>
      </c>
      <c r="U184" s="64">
        <v>29</v>
      </c>
      <c r="V184" s="63">
        <v>3650</v>
      </c>
      <c r="W184" s="46">
        <f>T184*'Factors &amp; Percentages'!$E$16+U184*'Factors &amp; Percentages'!$E$17+V184*'Factors &amp; Percentages'!$E$18</f>
        <v>3099.976315760654</v>
      </c>
      <c r="X184" s="114"/>
      <c r="Y184" s="58">
        <f t="shared" si="19"/>
        <v>13482.413802707451</v>
      </c>
      <c r="Z184" s="71">
        <f t="shared" si="20"/>
        <v>13482.413802707451</v>
      </c>
      <c r="AA184" s="51">
        <f>IF($AE184&gt;$Z184,$AE184*(1+'Factors &amp; Percentages'!$B$3),IF($Y184&gt;$Z184,$Z184,IF($Y184&gt;$AE184,$Y184,$AE184*(1+'Factors &amp; Percentages'!$B$3))))</f>
        <v>13482.413802707451</v>
      </c>
      <c r="AB184" s="59">
        <f t="shared" si="21"/>
        <v>13482.413802707451</v>
      </c>
      <c r="AC184" s="42"/>
      <c r="AD184" s="43">
        <f t="shared" si="22"/>
        <v>13482.413802707451</v>
      </c>
      <c r="AE184" s="75">
        <v>11450</v>
      </c>
      <c r="AF184" s="32"/>
      <c r="AG184" s="33"/>
      <c r="AH184" s="33"/>
      <c r="AI184" s="33"/>
      <c r="AJ184" s="5"/>
    </row>
    <row r="185" spans="1:36" s="89" customFormat="1" x14ac:dyDescent="0.3">
      <c r="A185" s="90" t="s">
        <v>174</v>
      </c>
      <c r="B185" s="78" t="s">
        <v>75</v>
      </c>
      <c r="C185" s="78" t="s">
        <v>163</v>
      </c>
      <c r="D185" s="79"/>
      <c r="E185" s="80">
        <f t="shared" si="24"/>
        <v>13782.300000000001</v>
      </c>
      <c r="F185" s="80"/>
      <c r="G185" s="80">
        <v>15771</v>
      </c>
      <c r="H185" s="80">
        <v>15771</v>
      </c>
      <c r="I185" s="80">
        <v>4695</v>
      </c>
      <c r="J185" s="80">
        <v>2012</v>
      </c>
      <c r="K185" s="80">
        <v>23367</v>
      </c>
      <c r="L185" s="80"/>
      <c r="M185" s="81">
        <f t="shared" si="17"/>
        <v>18107.7</v>
      </c>
      <c r="N185" s="81">
        <f t="shared" si="18"/>
        <v>4896.2</v>
      </c>
      <c r="O185" s="81">
        <f>SUM(M185*'Factors &amp; Percentages'!$E$6+N185*'Factors &amp; Percentages'!$E$7)</f>
        <v>1746.461477094816</v>
      </c>
      <c r="P185" s="82">
        <v>0.5</v>
      </c>
      <c r="Q185" s="81">
        <f>P185*'Factors &amp; Percentages'!$E$10</f>
        <v>5482.7878955843717</v>
      </c>
      <c r="R185" s="83">
        <v>3209</v>
      </c>
      <c r="S185" s="81">
        <f>R185*'Factors &amp; Percentages'!$E$13</f>
        <v>5698.1587979632268</v>
      </c>
      <c r="T185" s="84">
        <v>20</v>
      </c>
      <c r="U185" s="84">
        <v>51</v>
      </c>
      <c r="V185" s="84">
        <v>4318</v>
      </c>
      <c r="W185" s="81">
        <f>T185*'Factors &amp; Percentages'!$E$16+U185*'Factors &amp; Percentages'!$E$17+V185*'Factors &amp; Percentages'!$E$18</f>
        <v>3954.0679085692846</v>
      </c>
      <c r="X185" s="113"/>
      <c r="Y185" s="81">
        <f t="shared" si="19"/>
        <v>16881.476079211701</v>
      </c>
      <c r="Z185" s="85">
        <f t="shared" si="20"/>
        <v>10251.15</v>
      </c>
      <c r="AA185" s="80">
        <f>IF($AE185&gt;$Z185,$AE185*(1+'Factors &amp; Percentages'!$B$3),IF($Y185&gt;$Z185,$Z185,IF($Y185&gt;$AE185,$Y185,$AE185*(1+'Factors &amp; Percentages'!$B$3))))</f>
        <v>13782.300000000001</v>
      </c>
      <c r="AB185" s="80">
        <f t="shared" si="21"/>
        <v>13782.300000000001</v>
      </c>
      <c r="AC185" s="85"/>
      <c r="AD185" s="80">
        <f t="shared" si="22"/>
        <v>13782.300000000001</v>
      </c>
      <c r="AE185" s="86">
        <v>13126</v>
      </c>
      <c r="AF185" s="87"/>
      <c r="AG185" s="88"/>
      <c r="AH185" s="88"/>
      <c r="AI185" s="88"/>
      <c r="AJ185" s="5"/>
    </row>
    <row r="186" spans="1:36" x14ac:dyDescent="0.3">
      <c r="A186" s="91" t="s">
        <v>181</v>
      </c>
      <c r="B186" s="76" t="s">
        <v>8</v>
      </c>
      <c r="C186" s="76" t="s">
        <v>175</v>
      </c>
      <c r="D186" s="31"/>
      <c r="E186" s="43">
        <f t="shared" si="24"/>
        <v>9152.0638788381038</v>
      </c>
      <c r="F186" s="29"/>
      <c r="G186" s="51">
        <v>2191</v>
      </c>
      <c r="H186" s="59">
        <v>3199</v>
      </c>
      <c r="I186" s="51">
        <v>43259</v>
      </c>
      <c r="J186" s="59">
        <v>10975</v>
      </c>
      <c r="K186" s="49">
        <v>2893</v>
      </c>
      <c r="L186" s="29"/>
      <c r="M186" s="62">
        <f t="shared" si="17"/>
        <v>3488.3</v>
      </c>
      <c r="N186" s="58">
        <f t="shared" si="18"/>
        <v>44356.5</v>
      </c>
      <c r="O186" s="46">
        <f>SUM(M186*'Factors &amp; Percentages'!$E$6+N186*'Factors &amp; Percentages'!$E$7)</f>
        <v>2878.3318466950136</v>
      </c>
      <c r="P186" s="65">
        <v>0.25</v>
      </c>
      <c r="Q186" s="46">
        <f>P186*'Factors &amp; Percentages'!$E$10</f>
        <v>2741.3939477921858</v>
      </c>
      <c r="R186" s="69">
        <v>949</v>
      </c>
      <c r="S186" s="46">
        <f>R186*'Factors &amp; Percentages'!$E$13</f>
        <v>1685.1208162253358</v>
      </c>
      <c r="T186" s="63">
        <v>12</v>
      </c>
      <c r="U186" s="64">
        <v>25</v>
      </c>
      <c r="V186" s="63">
        <v>141</v>
      </c>
      <c r="W186" s="46">
        <f>T186*'Factors &amp; Percentages'!$E$16+U186*'Factors &amp; Percentages'!$E$17+V186*'Factors &amp; Percentages'!$E$18</f>
        <v>1847.2172681255681</v>
      </c>
      <c r="X186" s="114"/>
      <c r="Y186" s="58">
        <f t="shared" si="19"/>
        <v>9152.0638788381038</v>
      </c>
      <c r="Z186" s="71">
        <f t="shared" si="20"/>
        <v>9152.0638788381038</v>
      </c>
      <c r="AA186" s="51">
        <f>IF($AE186&gt;$Z186,$AE186*(1+'Factors &amp; Percentages'!$B$3),IF($Y186&gt;$Z186,$Z186,IF($Y186&gt;$AE186,$Y186,$AE186*(1+'Factors &amp; Percentages'!$B$3))))</f>
        <v>9152.0638788381038</v>
      </c>
      <c r="AB186" s="59">
        <f t="shared" si="21"/>
        <v>9152.0638788381038</v>
      </c>
      <c r="AC186" s="42"/>
      <c r="AD186" s="43">
        <f t="shared" si="22"/>
        <v>9152.0638788381038</v>
      </c>
      <c r="AE186" s="75">
        <v>925</v>
      </c>
      <c r="AF186" s="32"/>
      <c r="AG186" s="33"/>
      <c r="AH186" s="33"/>
      <c r="AI186" s="33"/>
      <c r="AJ186" s="5"/>
    </row>
    <row r="187" spans="1:36" s="89" customFormat="1" x14ac:dyDescent="0.3">
      <c r="A187" s="90" t="s">
        <v>182</v>
      </c>
      <c r="B187" s="78" t="s">
        <v>8</v>
      </c>
      <c r="C187" s="78" t="s">
        <v>175</v>
      </c>
      <c r="D187" s="79"/>
      <c r="E187" s="80">
        <f t="shared" si="24"/>
        <v>9311.5210831670411</v>
      </c>
      <c r="F187" s="80"/>
      <c r="G187" s="80">
        <v>15107</v>
      </c>
      <c r="H187" s="80">
        <v>16089</v>
      </c>
      <c r="I187" s="80">
        <v>13315</v>
      </c>
      <c r="J187" s="80">
        <v>36510</v>
      </c>
      <c r="K187" s="80">
        <v>3990</v>
      </c>
      <c r="L187" s="80"/>
      <c r="M187" s="81">
        <f t="shared" si="17"/>
        <v>16488</v>
      </c>
      <c r="N187" s="81">
        <f t="shared" si="18"/>
        <v>16966</v>
      </c>
      <c r="O187" s="81">
        <f>SUM(M187*'Factors &amp; Percentages'!$E$6+N187*'Factors &amp; Percentages'!$E$7)</f>
        <v>2322.5850792924948</v>
      </c>
      <c r="P187" s="82">
        <v>0.25</v>
      </c>
      <c r="Q187" s="81">
        <f>P187*'Factors &amp; Percentages'!$E$10</f>
        <v>2741.3939477921858</v>
      </c>
      <c r="R187" s="83">
        <v>945</v>
      </c>
      <c r="S187" s="81">
        <f>R187*'Factors &amp; Percentages'!$E$13</f>
        <v>1678.0180941337642</v>
      </c>
      <c r="T187" s="84">
        <v>15</v>
      </c>
      <c r="U187" s="84">
        <v>26</v>
      </c>
      <c r="V187" s="84">
        <v>2222</v>
      </c>
      <c r="W187" s="81">
        <f>T187*'Factors &amp; Percentages'!$E$16+U187*'Factors &amp; Percentages'!$E$17+V187*'Factors &amp; Percentages'!$E$18</f>
        <v>2569.5239619485974</v>
      </c>
      <c r="X187" s="113"/>
      <c r="Y187" s="81">
        <f t="shared" si="19"/>
        <v>9311.5210831670411</v>
      </c>
      <c r="Z187" s="85">
        <f t="shared" si="20"/>
        <v>9311.5210831670411</v>
      </c>
      <c r="AA187" s="80">
        <f>IF($AE187&gt;$Z187,$AE187*(1+'Factors &amp; Percentages'!$B$3),IF($Y187&gt;$Z187,$Z187,IF($Y187&gt;$AE187,$Y187,$AE187*(1+'Factors &amp; Percentages'!$B$3))))</f>
        <v>9311.5210831670411</v>
      </c>
      <c r="AB187" s="80">
        <f t="shared" si="21"/>
        <v>9311.5210831670411</v>
      </c>
      <c r="AC187" s="85"/>
      <c r="AD187" s="80">
        <f t="shared" si="22"/>
        <v>9311.5210831670411</v>
      </c>
      <c r="AE187" s="86">
        <v>9200</v>
      </c>
      <c r="AF187" s="87"/>
      <c r="AG187" s="88"/>
      <c r="AH187" s="88"/>
      <c r="AI187" s="88"/>
      <c r="AJ187" s="5"/>
    </row>
    <row r="188" spans="1:36" x14ac:dyDescent="0.3">
      <c r="A188" s="91" t="s">
        <v>19</v>
      </c>
      <c r="B188" s="76" t="s">
        <v>8</v>
      </c>
      <c r="C188" s="76" t="s">
        <v>8</v>
      </c>
      <c r="D188" s="31"/>
      <c r="E188" s="43">
        <f t="shared" si="24"/>
        <v>19845</v>
      </c>
      <c r="F188" s="29"/>
      <c r="G188" s="51">
        <v>25434</v>
      </c>
      <c r="H188" s="59">
        <v>27277</v>
      </c>
      <c r="I188" s="51">
        <v>5086</v>
      </c>
      <c r="J188" s="59">
        <v>0</v>
      </c>
      <c r="K188" s="49">
        <v>0</v>
      </c>
      <c r="L188" s="29"/>
      <c r="M188" s="62">
        <f t="shared" si="17"/>
        <v>27277</v>
      </c>
      <c r="N188" s="58">
        <f t="shared" si="18"/>
        <v>5086</v>
      </c>
      <c r="O188" s="46">
        <f>SUM(M188*'Factors &amp; Percentages'!$E$6+N188*'Factors &amp; Percentages'!$E$7)</f>
        <v>2496.7737509713838</v>
      </c>
      <c r="P188" s="65">
        <v>0.25</v>
      </c>
      <c r="Q188" s="46">
        <f>P188*'Factors &amp; Percentages'!$E$10</f>
        <v>2741.3939477921858</v>
      </c>
      <c r="R188" s="69">
        <v>3494</v>
      </c>
      <c r="S188" s="46">
        <f>R188*'Factors &amp; Percentages'!$E$13</f>
        <v>6204.2277469876954</v>
      </c>
      <c r="T188" s="63">
        <v>22</v>
      </c>
      <c r="U188" s="64">
        <v>65</v>
      </c>
      <c r="V188" s="63">
        <v>2154</v>
      </c>
      <c r="W188" s="46">
        <f>T188*'Factors &amp; Percentages'!$E$16+U188*'Factors &amp; Percentages'!$E$17+V188*'Factors &amp; Percentages'!$E$18</f>
        <v>4059.0904828034536</v>
      </c>
      <c r="X188" s="114"/>
      <c r="Y188" s="58">
        <f t="shared" si="19"/>
        <v>15501.485928554717</v>
      </c>
      <c r="Z188" s="71">
        <f t="shared" si="20"/>
        <v>15501.485928554717</v>
      </c>
      <c r="AA188" s="51">
        <f>IF($AE188&gt;$Z188,$AE188*(1+'Factors &amp; Percentages'!$B$3),IF($Y188&gt;$Z188,$Z188,IF($Y188&gt;$AE188,$Y188,$AE188*(1+'Factors &amp; Percentages'!$B$3))))</f>
        <v>19845</v>
      </c>
      <c r="AB188" s="59">
        <f t="shared" si="21"/>
        <v>19845</v>
      </c>
      <c r="AC188" s="42"/>
      <c r="AD188" s="43">
        <f t="shared" si="22"/>
        <v>19845</v>
      </c>
      <c r="AE188" s="75">
        <v>18900</v>
      </c>
      <c r="AF188" s="32"/>
      <c r="AG188" s="33"/>
      <c r="AH188" s="33"/>
      <c r="AI188" s="33"/>
      <c r="AJ188" s="5"/>
    </row>
    <row r="189" spans="1:36" s="89" customFormat="1" x14ac:dyDescent="0.3">
      <c r="A189" s="90" t="s">
        <v>20</v>
      </c>
      <c r="B189" s="78" t="s">
        <v>8</v>
      </c>
      <c r="C189" s="78" t="s">
        <v>8</v>
      </c>
      <c r="D189" s="79"/>
      <c r="E189" s="80">
        <f t="shared" si="24"/>
        <v>18900</v>
      </c>
      <c r="F189" s="80"/>
      <c r="G189" s="80">
        <v>40604</v>
      </c>
      <c r="H189" s="80">
        <v>43064</v>
      </c>
      <c r="I189" s="80">
        <v>8578</v>
      </c>
      <c r="J189" s="80">
        <v>11141</v>
      </c>
      <c r="K189" s="80">
        <v>4606</v>
      </c>
      <c r="L189" s="80"/>
      <c r="M189" s="81">
        <f t="shared" si="17"/>
        <v>43524.6</v>
      </c>
      <c r="N189" s="81">
        <f t="shared" si="18"/>
        <v>9692.1</v>
      </c>
      <c r="O189" s="81">
        <f>SUM(M189*'Factors &amp; Percentages'!$E$6+N189*'Factors &amp; Percentages'!$E$7)</f>
        <v>4076.2943461873788</v>
      </c>
      <c r="P189" s="82">
        <v>0.5</v>
      </c>
      <c r="Q189" s="81">
        <f>P189*'Factors &amp; Percentages'!$E$10</f>
        <v>5482.7878955843717</v>
      </c>
      <c r="R189" s="83">
        <v>1048</v>
      </c>
      <c r="S189" s="81">
        <f>R189*'Factors &amp; Percentages'!$E$13</f>
        <v>1860.9131879917302</v>
      </c>
      <c r="T189" s="84">
        <v>32</v>
      </c>
      <c r="U189" s="84">
        <v>93</v>
      </c>
      <c r="V189" s="84">
        <v>6772</v>
      </c>
      <c r="W189" s="81">
        <f>T189*'Factors &amp; Percentages'!$E$16+U189*'Factors &amp; Percentages'!$E$17+V189*'Factors &amp; Percentages'!$E$18</f>
        <v>6507.3241099751649</v>
      </c>
      <c r="X189" s="113"/>
      <c r="Y189" s="81">
        <f t="shared" si="19"/>
        <v>17927.319539738644</v>
      </c>
      <c r="Z189" s="85">
        <f t="shared" si="20"/>
        <v>17927.319539738644</v>
      </c>
      <c r="AA189" s="80">
        <f>IF($AE189&gt;$Z189,$AE189*(1+'Factors &amp; Percentages'!$B$3),IF($Y189&gt;$Z189,$Z189,IF($Y189&gt;$AE189,$Y189,$AE189*(1+'Factors &amp; Percentages'!$B$3))))</f>
        <v>18900</v>
      </c>
      <c r="AB189" s="80">
        <f t="shared" si="21"/>
        <v>18900</v>
      </c>
      <c r="AC189" s="85"/>
      <c r="AD189" s="80">
        <f t="shared" si="22"/>
        <v>18900</v>
      </c>
      <c r="AE189" s="86">
        <v>18000</v>
      </c>
      <c r="AF189" s="87"/>
      <c r="AG189" s="88"/>
      <c r="AH189" s="88"/>
      <c r="AI189" s="88"/>
      <c r="AJ189" s="5"/>
    </row>
    <row r="190" spans="1:36" x14ac:dyDescent="0.3">
      <c r="A190" s="91" t="s">
        <v>199</v>
      </c>
      <c r="B190" s="76" t="s">
        <v>8</v>
      </c>
      <c r="C190" s="76" t="s">
        <v>185</v>
      </c>
      <c r="D190" s="31"/>
      <c r="E190" s="43">
        <f t="shared" si="24"/>
        <v>76125</v>
      </c>
      <c r="F190" s="29"/>
      <c r="G190" s="51">
        <f>150141-4591</f>
        <v>145550</v>
      </c>
      <c r="H190" s="59">
        <v>134822</v>
      </c>
      <c r="I190" s="51">
        <v>147346</v>
      </c>
      <c r="J190" s="59">
        <v>172019</v>
      </c>
      <c r="K190" s="49">
        <v>11225</v>
      </c>
      <c r="L190" s="29"/>
      <c r="M190" s="62">
        <f t="shared" si="17"/>
        <v>135944.5</v>
      </c>
      <c r="N190" s="58">
        <f t="shared" si="18"/>
        <v>164547.9</v>
      </c>
      <c r="O190" s="46">
        <f>SUM(M190*'Factors &amp; Percentages'!$E$6+N190*'Factors &amp; Percentages'!$E$7)</f>
        <v>20593.845957578207</v>
      </c>
      <c r="P190" s="65">
        <v>1.5</v>
      </c>
      <c r="Q190" s="46">
        <f>P190*'Factors &amp; Percentages'!$E$10</f>
        <v>16448.363686753117</v>
      </c>
      <c r="R190" s="69">
        <v>2994</v>
      </c>
      <c r="S190" s="46">
        <f>R190*'Factors &amp; Percentages'!$E$13</f>
        <v>5316.3874855412596</v>
      </c>
      <c r="T190" s="63">
        <v>121</v>
      </c>
      <c r="U190" s="64">
        <v>189</v>
      </c>
      <c r="V190" s="63">
        <v>15336</v>
      </c>
      <c r="W190" s="46">
        <f>T190*'Factors &amp; Percentages'!$E$16+U190*'Factors &amp; Percentages'!$E$17+V190*'Factors &amp; Percentages'!$E$18</f>
        <v>19906.769342083295</v>
      </c>
      <c r="X190" s="114"/>
      <c r="Y190" s="58">
        <f t="shared" si="19"/>
        <v>62265.366471955873</v>
      </c>
      <c r="Z190" s="71">
        <f t="shared" si="20"/>
        <v>62265.366471955873</v>
      </c>
      <c r="AA190" s="51">
        <f>IF($AE190&gt;$Z190,$AE190*(1+'Factors &amp; Percentages'!$B$3),IF($Y190&gt;$Z190,$Z190,IF($Y190&gt;$AE190,$Y190,$AE190*(1+'Factors &amp; Percentages'!$B$3))))</f>
        <v>76125</v>
      </c>
      <c r="AB190" s="59">
        <f t="shared" si="21"/>
        <v>76125</v>
      </c>
      <c r="AC190" s="42"/>
      <c r="AD190" s="43">
        <f t="shared" si="22"/>
        <v>76125</v>
      </c>
      <c r="AE190" s="75">
        <v>72500</v>
      </c>
      <c r="AF190" s="32"/>
      <c r="AG190" s="33"/>
      <c r="AH190" s="33"/>
      <c r="AI190" s="33"/>
      <c r="AJ190" s="5"/>
    </row>
    <row r="191" spans="1:36" s="89" customFormat="1" x14ac:dyDescent="0.3">
      <c r="A191" s="90" t="s">
        <v>96</v>
      </c>
      <c r="B191" s="78" t="s">
        <v>75</v>
      </c>
      <c r="C191" s="78" t="s">
        <v>75</v>
      </c>
      <c r="D191" s="79"/>
      <c r="E191" s="80">
        <f t="shared" si="24"/>
        <v>14553</v>
      </c>
      <c r="F191" s="80"/>
      <c r="G191" s="80">
        <v>15620</v>
      </c>
      <c r="H191" s="80">
        <v>21308</v>
      </c>
      <c r="I191" s="80">
        <v>11958</v>
      </c>
      <c r="J191" s="80">
        <v>694</v>
      </c>
      <c r="K191" s="80">
        <v>145</v>
      </c>
      <c r="L191" s="80"/>
      <c r="M191" s="81">
        <f t="shared" si="17"/>
        <v>21322.5</v>
      </c>
      <c r="N191" s="81">
        <f t="shared" si="18"/>
        <v>12027.4</v>
      </c>
      <c r="O191" s="81">
        <f>SUM(M191*'Factors &amp; Percentages'!$E$6+N191*'Factors &amp; Percentages'!$E$7)</f>
        <v>2423.1669748460099</v>
      </c>
      <c r="P191" s="82">
        <v>0.33</v>
      </c>
      <c r="Q191" s="81">
        <f>P191*'Factors &amp; Percentages'!$E$10</f>
        <v>3618.6400110856853</v>
      </c>
      <c r="R191" s="83">
        <v>1371</v>
      </c>
      <c r="S191" s="81">
        <f>R191*'Factors &amp; Percentages'!$E$13</f>
        <v>2434.4579968861281</v>
      </c>
      <c r="T191" s="84">
        <v>11</v>
      </c>
      <c r="U191" s="84">
        <v>31</v>
      </c>
      <c r="V191" s="84">
        <v>4616</v>
      </c>
      <c r="W191" s="81">
        <f>T191*'Factors &amp; Percentages'!$E$16+U191*'Factors &amp; Percentages'!$E$17+V191*'Factors &amp; Percentages'!$E$18</f>
        <v>2616.230854243981</v>
      </c>
      <c r="X191" s="113"/>
      <c r="Y191" s="81">
        <f t="shared" si="19"/>
        <v>11092.495837061802</v>
      </c>
      <c r="Z191" s="85">
        <f t="shared" si="20"/>
        <v>11092.495837061802</v>
      </c>
      <c r="AA191" s="80">
        <f>IF($AE191&gt;$Z191,$AE191*(1+'Factors &amp; Percentages'!$B$3),IF($Y191&gt;$Z191,$Z191,IF($Y191&gt;$AE191,$Y191,$AE191*(1+'Factors &amp; Percentages'!$B$3))))</f>
        <v>14553</v>
      </c>
      <c r="AB191" s="80">
        <f t="shared" si="21"/>
        <v>14553</v>
      </c>
      <c r="AC191" s="85"/>
      <c r="AD191" s="80">
        <f t="shared" si="22"/>
        <v>14553</v>
      </c>
      <c r="AE191" s="86">
        <v>13860</v>
      </c>
      <c r="AF191" s="87"/>
      <c r="AG191" s="88"/>
      <c r="AH191" s="88"/>
      <c r="AI191" s="88"/>
      <c r="AJ191" s="5"/>
    </row>
    <row r="192" spans="1:36" x14ac:dyDescent="0.3">
      <c r="A192" s="91" t="s">
        <v>55</v>
      </c>
      <c r="B192" s="76" t="s">
        <v>43</v>
      </c>
      <c r="C192" s="76" t="s">
        <v>42</v>
      </c>
      <c r="D192" s="31"/>
      <c r="E192" s="43">
        <f t="shared" si="24"/>
        <v>27809.702767182433</v>
      </c>
      <c r="F192" s="29"/>
      <c r="G192" s="51">
        <v>36686</v>
      </c>
      <c r="H192" s="59">
        <v>57838</v>
      </c>
      <c r="I192" s="51">
        <v>33277</v>
      </c>
      <c r="J192" s="59">
        <v>18210</v>
      </c>
      <c r="K192" s="49">
        <v>3744</v>
      </c>
      <c r="L192" s="29"/>
      <c r="M192" s="62">
        <f t="shared" si="17"/>
        <v>58212.4</v>
      </c>
      <c r="N192" s="58">
        <f t="shared" si="18"/>
        <v>35098</v>
      </c>
      <c r="O192" s="46">
        <f>SUM(M192*'Factors &amp; Percentages'!$E$6+N192*'Factors &amp; Percentages'!$E$7)</f>
        <v>6747.9175122521756</v>
      </c>
      <c r="P192" s="65">
        <v>1</v>
      </c>
      <c r="Q192" s="46">
        <f>P192*'Factors &amp; Percentages'!$E$10</f>
        <v>10965.575791168743</v>
      </c>
      <c r="R192" s="69">
        <v>1315</v>
      </c>
      <c r="S192" s="46">
        <f>R192*'Factors &amp; Percentages'!$E$13</f>
        <v>2335.0198876041272</v>
      </c>
      <c r="T192" s="63">
        <v>33</v>
      </c>
      <c r="U192" s="64">
        <v>77</v>
      </c>
      <c r="V192" s="63">
        <v>14999</v>
      </c>
      <c r="W192" s="46">
        <f>T192*'Factors &amp; Percentages'!$E$16+U192*'Factors &amp; Percentages'!$E$17+V192*'Factors &amp; Percentages'!$E$18</f>
        <v>7761.1895761573887</v>
      </c>
      <c r="X192" s="114"/>
      <c r="Y192" s="58">
        <f t="shared" si="19"/>
        <v>27809.702767182433</v>
      </c>
      <c r="Z192" s="71">
        <f t="shared" si="20"/>
        <v>27809.702767182433</v>
      </c>
      <c r="AA192" s="51">
        <f>IF($AE192&gt;$Z192,$AE192*(1+'Factors &amp; Percentages'!$B$3),IF($Y192&gt;$Z192,$Z192,IF($Y192&gt;$AE192,$Y192,$AE192*(1+'Factors &amp; Percentages'!$B$3))))</f>
        <v>27809.702767182433</v>
      </c>
      <c r="AB192" s="59">
        <f t="shared" si="21"/>
        <v>27809.702767182433</v>
      </c>
      <c r="AC192" s="42"/>
      <c r="AD192" s="43">
        <f t="shared" si="22"/>
        <v>27809.702767182433</v>
      </c>
      <c r="AE192" s="75">
        <v>18000</v>
      </c>
      <c r="AF192" s="32"/>
      <c r="AG192" s="33"/>
      <c r="AH192" s="33"/>
      <c r="AI192" s="33"/>
      <c r="AJ192" s="5"/>
    </row>
    <row r="193" spans="1:36" s="89" customFormat="1" x14ac:dyDescent="0.3">
      <c r="A193" s="90" t="s">
        <v>223</v>
      </c>
      <c r="B193" s="78" t="s">
        <v>8</v>
      </c>
      <c r="C193" s="78" t="s">
        <v>185</v>
      </c>
      <c r="D193" s="79"/>
      <c r="E193" s="80">
        <f t="shared" si="24"/>
        <v>34961.641485736858</v>
      </c>
      <c r="F193" s="80"/>
      <c r="G193" s="80">
        <v>8999</v>
      </c>
      <c r="H193" s="80">
        <v>23669</v>
      </c>
      <c r="I193" s="80">
        <v>30273</v>
      </c>
      <c r="J193" s="80">
        <v>0</v>
      </c>
      <c r="K193" s="80">
        <v>238</v>
      </c>
      <c r="L193" s="80"/>
      <c r="M193" s="81">
        <f t="shared" si="17"/>
        <v>23692.799999999999</v>
      </c>
      <c r="N193" s="81">
        <f t="shared" si="18"/>
        <v>30273</v>
      </c>
      <c r="O193" s="81">
        <f>SUM(M193*'Factors &amp; Percentages'!$E$6+N193*'Factors &amp; Percentages'!$E$7)</f>
        <v>3682.5505877138448</v>
      </c>
      <c r="P193" s="82">
        <v>1</v>
      </c>
      <c r="Q193" s="81">
        <f>P193*'Factors &amp; Percentages'!$E$10</f>
        <v>10965.575791168743</v>
      </c>
      <c r="R193" s="83">
        <v>9013</v>
      </c>
      <c r="S193" s="81">
        <f>R193*'Factors &amp; Percentages'!$E$13</f>
        <v>16004.208552833457</v>
      </c>
      <c r="T193" s="84">
        <v>20</v>
      </c>
      <c r="U193" s="84">
        <v>57</v>
      </c>
      <c r="V193" s="84">
        <v>5746</v>
      </c>
      <c r="W193" s="81">
        <f>T193*'Factors &amp; Percentages'!$E$16+U193*'Factors &amp; Percentages'!$E$17+V193*'Factors &amp; Percentages'!$E$18</f>
        <v>4309.3065540208117</v>
      </c>
      <c r="X193" s="113"/>
      <c r="Y193" s="81">
        <f t="shared" si="19"/>
        <v>34961.641485736858</v>
      </c>
      <c r="Z193" s="85">
        <f t="shared" si="20"/>
        <v>34961.641485736858</v>
      </c>
      <c r="AA193" s="80">
        <f>IF($AE193&gt;$Z193,$AE193*(1+'Factors &amp; Percentages'!$B$3),IF($Y193&gt;$Z193,$Z193,IF($Y193&gt;$AE193,$Y193,$AE193*(1+'Factors &amp; Percentages'!$B$3))))</f>
        <v>34961.641485736858</v>
      </c>
      <c r="AB193" s="80">
        <f t="shared" si="21"/>
        <v>34961.641485736858</v>
      </c>
      <c r="AC193" s="85"/>
      <c r="AD193" s="80">
        <f t="shared" si="22"/>
        <v>34961.641485736858</v>
      </c>
      <c r="AE193" s="86">
        <v>0</v>
      </c>
      <c r="AF193" s="87"/>
      <c r="AG193" s="88"/>
      <c r="AH193" s="88"/>
      <c r="AI193" s="88"/>
      <c r="AJ193" s="5"/>
    </row>
    <row r="194" spans="1:36" x14ac:dyDescent="0.3">
      <c r="A194" s="91" t="s">
        <v>56</v>
      </c>
      <c r="B194" s="76" t="s">
        <v>43</v>
      </c>
      <c r="C194" s="76" t="s">
        <v>42</v>
      </c>
      <c r="D194" s="31"/>
      <c r="E194" s="43">
        <f t="shared" si="24"/>
        <v>59221.05</v>
      </c>
      <c r="F194" s="29"/>
      <c r="G194" s="51">
        <f>83653-2250</f>
        <v>81403</v>
      </c>
      <c r="H194" s="59">
        <v>101655</v>
      </c>
      <c r="I194" s="51">
        <v>108762</v>
      </c>
      <c r="J194" s="59">
        <v>500</v>
      </c>
      <c r="K194" s="49">
        <v>850</v>
      </c>
      <c r="L194" s="29"/>
      <c r="M194" s="62">
        <f t="shared" si="17"/>
        <v>101740</v>
      </c>
      <c r="N194" s="58">
        <f t="shared" si="18"/>
        <v>108812</v>
      </c>
      <c r="O194" s="46">
        <f>SUM(M194*'Factors &amp; Percentages'!$E$6+N194*'Factors &amp; Percentages'!$E$7)</f>
        <v>14572.998468285969</v>
      </c>
      <c r="P194" s="65">
        <v>1</v>
      </c>
      <c r="Q194" s="46">
        <f>P194*'Factors &amp; Percentages'!$E$10</f>
        <v>10965.575791168743</v>
      </c>
      <c r="R194" s="69">
        <v>1757</v>
      </c>
      <c r="S194" s="46">
        <f>R194*'Factors &amp; Percentages'!$E$13</f>
        <v>3119.8706787227766</v>
      </c>
      <c r="T194" s="63">
        <v>71</v>
      </c>
      <c r="U194" s="64">
        <v>212</v>
      </c>
      <c r="V194" s="63">
        <v>18810</v>
      </c>
      <c r="W194" s="46">
        <f>T194*'Factors &amp; Percentages'!$E$16+U194*'Factors &amp; Percentages'!$E$17+V194*'Factors &amp; Percentages'!$E$18</f>
        <v>15195.792346519438</v>
      </c>
      <c r="X194" s="114"/>
      <c r="Y194" s="58">
        <f t="shared" si="19"/>
        <v>43854.23728469693</v>
      </c>
      <c r="Z194" s="71">
        <f t="shared" si="20"/>
        <v>43854.23728469693</v>
      </c>
      <c r="AA194" s="51">
        <f>IF($AE194&gt;$Z194,$AE194*(1+'Factors &amp; Percentages'!$B$3),IF($Y194&gt;$Z194,$Z194,IF($Y194&gt;$AE194,$Y194,$AE194*(1+'Factors &amp; Percentages'!$B$3))))</f>
        <v>59221.05</v>
      </c>
      <c r="AB194" s="59">
        <f t="shared" si="21"/>
        <v>59221.05</v>
      </c>
      <c r="AC194" s="42"/>
      <c r="AD194" s="43">
        <f t="shared" si="22"/>
        <v>59221.05</v>
      </c>
      <c r="AE194" s="75">
        <v>56401</v>
      </c>
      <c r="AF194" s="32"/>
      <c r="AG194" s="33"/>
      <c r="AH194" s="33"/>
      <c r="AI194" s="33"/>
      <c r="AJ194" s="5"/>
    </row>
    <row r="195" spans="1:36" s="89" customFormat="1" x14ac:dyDescent="0.3">
      <c r="A195" s="90" t="s">
        <v>97</v>
      </c>
      <c r="B195" s="78" t="s">
        <v>75</v>
      </c>
      <c r="C195" s="78" t="s">
        <v>75</v>
      </c>
      <c r="D195" s="79"/>
      <c r="E195" s="80">
        <f t="shared" si="24"/>
        <v>11680.274087399204</v>
      </c>
      <c r="F195" s="80"/>
      <c r="G195" s="80">
        <v>9160</v>
      </c>
      <c r="H195" s="80">
        <v>12110</v>
      </c>
      <c r="I195" s="80">
        <v>17380</v>
      </c>
      <c r="J195" s="80">
        <v>9000</v>
      </c>
      <c r="K195" s="80">
        <v>0</v>
      </c>
      <c r="L195" s="80"/>
      <c r="M195" s="81">
        <f t="shared" ref="M195:M210" si="25">H195+K195*0.1</f>
        <v>12110</v>
      </c>
      <c r="N195" s="81">
        <f t="shared" ref="N195:N210" si="26">I195+0.1*J195</f>
        <v>18280</v>
      </c>
      <c r="O195" s="81">
        <f>SUM(M195*'Factors &amp; Percentages'!$E$6+N195*'Factors &amp; Percentages'!$E$7)</f>
        <v>2046.5808674624955</v>
      </c>
      <c r="P195" s="82">
        <v>0.33</v>
      </c>
      <c r="Q195" s="81">
        <f>P195*'Factors &amp; Percentages'!$E$10</f>
        <v>3618.6400110856853</v>
      </c>
      <c r="R195" s="83">
        <v>1856</v>
      </c>
      <c r="S195" s="81">
        <f>R195*'Factors &amp; Percentages'!$E$13</f>
        <v>3295.6630504891709</v>
      </c>
      <c r="T195" s="84">
        <v>12</v>
      </c>
      <c r="U195" s="84">
        <v>32</v>
      </c>
      <c r="V195" s="84">
        <v>4447</v>
      </c>
      <c r="W195" s="81">
        <f>T195*'Factors &amp; Percentages'!$E$16+U195*'Factors &amp; Percentages'!$E$17+V195*'Factors &amp; Percentages'!$E$18</f>
        <v>2719.3901583618544</v>
      </c>
      <c r="X195" s="113"/>
      <c r="Y195" s="81">
        <f t="shared" ref="Y195:Y210" si="27">O195+Q195+S195+W195</f>
        <v>11680.274087399204</v>
      </c>
      <c r="Z195" s="85">
        <f t="shared" ref="Z195:Z210" si="28">IF($I195&gt;($H195+$G195)/2,$Y195,MIN(Y195,$H195*0.65))</f>
        <v>11680.274087399204</v>
      </c>
      <c r="AA195" s="80">
        <f>IF($AE195&gt;$Z195,$AE195*(1+'Factors &amp; Percentages'!$B$3),IF($Y195&gt;$Z195,$Z195,IF($Y195&gt;$AE195,$Y195,$AE195*(1+'Factors &amp; Percentages'!$B$3))))</f>
        <v>11680.274087399204</v>
      </c>
      <c r="AB195" s="80">
        <f t="shared" ref="AB195:AB210" si="29">MIN(AA195,+P195*2*88928)</f>
        <v>11680.274087399204</v>
      </c>
      <c r="AC195" s="85"/>
      <c r="AD195" s="80">
        <f t="shared" si="22"/>
        <v>11680.274087399204</v>
      </c>
      <c r="AE195" s="86">
        <v>7000</v>
      </c>
      <c r="AF195" s="87"/>
      <c r="AG195" s="88"/>
      <c r="AH195" s="88"/>
      <c r="AI195" s="88"/>
      <c r="AJ195" s="5"/>
    </row>
    <row r="196" spans="1:36" x14ac:dyDescent="0.3">
      <c r="A196" s="91" t="s">
        <v>57</v>
      </c>
      <c r="B196" s="76" t="s">
        <v>43</v>
      </c>
      <c r="C196" s="76" t="s">
        <v>42</v>
      </c>
      <c r="D196" s="31"/>
      <c r="E196" s="43">
        <f t="shared" si="24"/>
        <v>15308.002425129249</v>
      </c>
      <c r="F196" s="29"/>
      <c r="G196" s="51">
        <v>25955</v>
      </c>
      <c r="H196" s="59">
        <v>28786</v>
      </c>
      <c r="I196" s="51">
        <v>33397</v>
      </c>
      <c r="J196" s="59">
        <v>0</v>
      </c>
      <c r="K196" s="49">
        <v>519</v>
      </c>
      <c r="L196" s="29"/>
      <c r="M196" s="62">
        <f t="shared" si="25"/>
        <v>28837.9</v>
      </c>
      <c r="N196" s="58">
        <f t="shared" si="26"/>
        <v>33397</v>
      </c>
      <c r="O196" s="46">
        <f>SUM(M196*'Factors &amp; Percentages'!$E$6+N196*'Factors &amp; Percentages'!$E$7)</f>
        <v>4280.2451530870121</v>
      </c>
      <c r="P196" s="65">
        <v>0.5</v>
      </c>
      <c r="Q196" s="46">
        <f>P196*'Factors &amp; Percentages'!$E$10</f>
        <v>5482.7878955843717</v>
      </c>
      <c r="R196" s="69">
        <v>1440</v>
      </c>
      <c r="S196" s="46">
        <f>R196*'Factors &amp; Percentages'!$E$13</f>
        <v>2556.9799529657362</v>
      </c>
      <c r="T196" s="63">
        <v>18</v>
      </c>
      <c r="U196" s="64">
        <v>24</v>
      </c>
      <c r="V196" s="63">
        <v>2861</v>
      </c>
      <c r="W196" s="46">
        <f>T196*'Factors &amp; Percentages'!$E$16+U196*'Factors &amp; Percentages'!$E$17+V196*'Factors &amp; Percentages'!$E$18</f>
        <v>2987.9894234921303</v>
      </c>
      <c r="X196" s="114"/>
      <c r="Y196" s="58">
        <f t="shared" si="27"/>
        <v>15308.002425129249</v>
      </c>
      <c r="Z196" s="71">
        <f t="shared" si="28"/>
        <v>15308.002425129249</v>
      </c>
      <c r="AA196" s="51">
        <f>IF($AE196&gt;$Z196,$AE196*(1+'Factors &amp; Percentages'!$B$3),IF($Y196&gt;$Z196,$Z196,IF($Y196&gt;$AE196,$Y196,$AE196*(1+'Factors &amp; Percentages'!$B$3))))</f>
        <v>15308.002425129249</v>
      </c>
      <c r="AB196" s="59">
        <f t="shared" si="29"/>
        <v>15308.002425129249</v>
      </c>
      <c r="AC196" s="42"/>
      <c r="AD196" s="43">
        <f t="shared" ref="AD196:AD210" si="30">AB196</f>
        <v>15308.002425129249</v>
      </c>
      <c r="AE196" s="75">
        <v>10440</v>
      </c>
      <c r="AF196" s="32"/>
      <c r="AG196" s="33"/>
      <c r="AH196" s="33"/>
      <c r="AI196" s="33"/>
      <c r="AJ196" s="5"/>
    </row>
    <row r="197" spans="1:36" s="89" customFormat="1" x14ac:dyDescent="0.3">
      <c r="A197" s="90" t="s">
        <v>58</v>
      </c>
      <c r="B197" s="78" t="s">
        <v>43</v>
      </c>
      <c r="C197" s="78" t="s">
        <v>42</v>
      </c>
      <c r="D197" s="79"/>
      <c r="E197" s="80">
        <f t="shared" si="24"/>
        <v>12841.341435421433</v>
      </c>
      <c r="F197" s="80"/>
      <c r="G197" s="80">
        <f>16878-1035</f>
        <v>15843</v>
      </c>
      <c r="H197" s="80">
        <v>26376</v>
      </c>
      <c r="I197" s="80">
        <v>47605</v>
      </c>
      <c r="J197" s="80">
        <v>0</v>
      </c>
      <c r="K197" s="80">
        <v>0</v>
      </c>
      <c r="L197" s="80"/>
      <c r="M197" s="81">
        <f t="shared" si="25"/>
        <v>26376</v>
      </c>
      <c r="N197" s="81">
        <f t="shared" si="26"/>
        <v>47605</v>
      </c>
      <c r="O197" s="81">
        <f>SUM(M197*'Factors &amp; Percentages'!$E$6+N197*'Factors &amp; Percentages'!$E$7)</f>
        <v>4913.6670140974493</v>
      </c>
      <c r="P197" s="82">
        <v>0.25</v>
      </c>
      <c r="Q197" s="81">
        <f>P197*'Factors &amp; Percentages'!$E$10</f>
        <v>2741.3939477921858</v>
      </c>
      <c r="R197" s="83">
        <v>1262</v>
      </c>
      <c r="S197" s="81">
        <f>R197*'Factors &amp; Percentages'!$E$13</f>
        <v>2240.9088198908048</v>
      </c>
      <c r="T197" s="84">
        <v>16</v>
      </c>
      <c r="U197" s="84">
        <v>39</v>
      </c>
      <c r="V197" s="84">
        <v>2384</v>
      </c>
      <c r="W197" s="81">
        <f>T197*'Factors &amp; Percentages'!$E$16+U197*'Factors &amp; Percentages'!$E$17+V197*'Factors &amp; Percentages'!$E$18</f>
        <v>2945.3716536409916</v>
      </c>
      <c r="X197" s="113"/>
      <c r="Y197" s="81">
        <f t="shared" si="27"/>
        <v>12841.341435421433</v>
      </c>
      <c r="Z197" s="85">
        <f t="shared" si="28"/>
        <v>12841.341435421433</v>
      </c>
      <c r="AA197" s="80">
        <f>IF($AE197&gt;$Z197,$AE197*(1+'Factors &amp; Percentages'!$B$3),IF($Y197&gt;$Z197,$Z197,IF($Y197&gt;$AE197,$Y197,$AE197*(1+'Factors &amp; Percentages'!$B$3))))</f>
        <v>12841.341435421433</v>
      </c>
      <c r="AB197" s="80">
        <f t="shared" si="29"/>
        <v>12841.341435421433</v>
      </c>
      <c r="AC197" s="85"/>
      <c r="AD197" s="80">
        <f t="shared" si="30"/>
        <v>12841.341435421433</v>
      </c>
      <c r="AE197" s="86">
        <v>7000</v>
      </c>
      <c r="AF197" s="87"/>
      <c r="AG197" s="88"/>
      <c r="AH197" s="88"/>
      <c r="AI197" s="88"/>
      <c r="AJ197" s="5"/>
    </row>
    <row r="198" spans="1:36" x14ac:dyDescent="0.3">
      <c r="A198" s="91" t="s">
        <v>225</v>
      </c>
      <c r="B198" s="76" t="s">
        <v>43</v>
      </c>
      <c r="C198" s="76" t="s">
        <v>99</v>
      </c>
      <c r="D198" s="31"/>
      <c r="E198" s="43">
        <f t="shared" si="24"/>
        <v>10763.580142801229</v>
      </c>
      <c r="F198" s="29"/>
      <c r="G198" s="51">
        <f>19651-150</f>
        <v>19501</v>
      </c>
      <c r="H198" s="59">
        <v>23728</v>
      </c>
      <c r="I198" s="51">
        <v>19057</v>
      </c>
      <c r="J198" s="59">
        <v>6726</v>
      </c>
      <c r="K198" s="49">
        <v>1</v>
      </c>
      <c r="L198" s="29"/>
      <c r="M198" s="62">
        <f t="shared" si="25"/>
        <v>23728.1</v>
      </c>
      <c r="N198" s="58">
        <f t="shared" si="26"/>
        <v>19729.599999999999</v>
      </c>
      <c r="O198" s="46">
        <f>SUM(M198*'Factors &amp; Percentages'!$E$6+N198*'Factors &amp; Percentages'!$E$7)</f>
        <v>3068.0699943363325</v>
      </c>
      <c r="P198" s="70">
        <v>0.265625</v>
      </c>
      <c r="Q198" s="46">
        <f>P198*'Factors &amp; Percentages'!$E$10</f>
        <v>2912.7310695291976</v>
      </c>
      <c r="R198" s="69">
        <v>609</v>
      </c>
      <c r="S198" s="46">
        <f>R198*'Factors &amp; Percentages'!$E$13</f>
        <v>1081.3894384417592</v>
      </c>
      <c r="T198" s="63">
        <v>17</v>
      </c>
      <c r="U198" s="64">
        <v>43</v>
      </c>
      <c r="V198" s="63">
        <v>5670</v>
      </c>
      <c r="W198" s="46">
        <f>T198*'Factors &amp; Percentages'!$E$16+U198*'Factors &amp; Percentages'!$E$17+V198*'Factors &amp; Percentages'!$E$18</f>
        <v>3701.3896404939401</v>
      </c>
      <c r="X198" s="114"/>
      <c r="Y198" s="58">
        <f t="shared" si="27"/>
        <v>10763.580142801229</v>
      </c>
      <c r="Z198" s="71">
        <f t="shared" si="28"/>
        <v>10763.580142801229</v>
      </c>
      <c r="AA198" s="51">
        <f>IF($AE198&gt;$Z198,$AE198*(1+'Factors &amp; Percentages'!$B$3),IF($Y198&gt;$Z198,$Z198,IF($Y198&gt;$AE198,$Y198,$AE198*(1+'Factors &amp; Percentages'!$B$3))))</f>
        <v>10763.580142801229</v>
      </c>
      <c r="AB198" s="59">
        <f t="shared" si="29"/>
        <v>10763.580142801229</v>
      </c>
      <c r="AC198" s="42"/>
      <c r="AD198" s="43">
        <f t="shared" si="30"/>
        <v>10763.580142801229</v>
      </c>
      <c r="AE198" s="75">
        <v>6600</v>
      </c>
      <c r="AF198" s="32"/>
      <c r="AG198" s="33"/>
      <c r="AH198" s="33"/>
      <c r="AI198" s="33"/>
      <c r="AJ198" s="5"/>
    </row>
    <row r="199" spans="1:36" s="89" customFormat="1" x14ac:dyDescent="0.3">
      <c r="A199" s="90" t="s">
        <v>130</v>
      </c>
      <c r="B199" s="78" t="s">
        <v>43</v>
      </c>
      <c r="C199" s="78" t="s">
        <v>123</v>
      </c>
      <c r="D199" s="79"/>
      <c r="E199" s="80">
        <f t="shared" si="24"/>
        <v>51520.873420993994</v>
      </c>
      <c r="F199" s="80"/>
      <c r="G199" s="80">
        <f>113965-16783-2000</f>
        <v>95182</v>
      </c>
      <c r="H199" s="80">
        <v>118543</v>
      </c>
      <c r="I199" s="80">
        <v>158041</v>
      </c>
      <c r="J199" s="80">
        <v>0</v>
      </c>
      <c r="K199" s="80">
        <v>0</v>
      </c>
      <c r="L199" s="80"/>
      <c r="M199" s="81">
        <f t="shared" si="25"/>
        <v>118543</v>
      </c>
      <c r="N199" s="81">
        <f t="shared" si="26"/>
        <v>158041</v>
      </c>
      <c r="O199" s="81">
        <f>SUM(M199*'Factors &amp; Percentages'!$E$6+N199*'Factors &amp; Percentages'!$E$7)</f>
        <v>18810.007981781782</v>
      </c>
      <c r="P199" s="82">
        <v>0.75</v>
      </c>
      <c r="Q199" s="81">
        <f>P199*'Factors &amp; Percentages'!$E$10</f>
        <v>8224.1818433765584</v>
      </c>
      <c r="R199" s="83">
        <v>8968</v>
      </c>
      <c r="S199" s="81">
        <f>R199*'Factors &amp; Percentages'!$E$13</f>
        <v>15924.302929303278</v>
      </c>
      <c r="T199" s="84">
        <v>16</v>
      </c>
      <c r="U199" s="84">
        <v>253</v>
      </c>
      <c r="V199" s="84">
        <v>12636</v>
      </c>
      <c r="W199" s="81">
        <f>T199*'Factors &amp; Percentages'!$E$16+U199*'Factors &amp; Percentages'!$E$17+V199*'Factors &amp; Percentages'!$E$18</f>
        <v>8562.38066653237</v>
      </c>
      <c r="X199" s="113"/>
      <c r="Y199" s="81">
        <f t="shared" si="27"/>
        <v>51520.873420993994</v>
      </c>
      <c r="Z199" s="85">
        <f t="shared" si="28"/>
        <v>51520.873420993994</v>
      </c>
      <c r="AA199" s="80">
        <f>IF($AE199&gt;$Z199,$AE199*(1+'Factors &amp; Percentages'!$B$3),IF($Y199&gt;$Z199,$Z199,IF($Y199&gt;$AE199,$Y199,$AE199*(1+'Factors &amp; Percentages'!$B$3))))</f>
        <v>51520.873420993994</v>
      </c>
      <c r="AB199" s="80">
        <f t="shared" si="29"/>
        <v>51520.873420993994</v>
      </c>
      <c r="AC199" s="85"/>
      <c r="AD199" s="80">
        <f t="shared" si="30"/>
        <v>51520.873420993994</v>
      </c>
      <c r="AE199" s="86">
        <v>40000</v>
      </c>
      <c r="AF199" s="87"/>
      <c r="AG199" s="88"/>
      <c r="AH199" s="88"/>
      <c r="AI199" s="88"/>
      <c r="AJ199" s="5"/>
    </row>
    <row r="200" spans="1:36" x14ac:dyDescent="0.3">
      <c r="A200" s="91" t="s">
        <v>162</v>
      </c>
      <c r="B200" s="76" t="s">
        <v>43</v>
      </c>
      <c r="C200" s="76" t="s">
        <v>145</v>
      </c>
      <c r="D200" s="31"/>
      <c r="E200" s="43">
        <f t="shared" si="24"/>
        <v>31618.298439560669</v>
      </c>
      <c r="F200" s="29"/>
      <c r="G200" s="51">
        <v>49021</v>
      </c>
      <c r="H200" s="59">
        <v>63033</v>
      </c>
      <c r="I200" s="51">
        <v>65984</v>
      </c>
      <c r="J200" s="59">
        <v>0</v>
      </c>
      <c r="K200" s="49">
        <v>0</v>
      </c>
      <c r="L200" s="29"/>
      <c r="M200" s="62">
        <f t="shared" si="25"/>
        <v>63033</v>
      </c>
      <c r="N200" s="58">
        <f t="shared" si="26"/>
        <v>65984</v>
      </c>
      <c r="O200" s="46">
        <f>SUM(M200*'Factors &amp; Percentages'!$E$6+N200*'Factors &amp; Percentages'!$E$7)</f>
        <v>8944.9441459164154</v>
      </c>
      <c r="P200" s="65">
        <v>0.5</v>
      </c>
      <c r="Q200" s="46">
        <f>P200*'Factors &amp; Percentages'!$E$10</f>
        <v>5482.7878955843717</v>
      </c>
      <c r="R200" s="69">
        <v>5714</v>
      </c>
      <c r="S200" s="46">
        <f>R200*'Factors &amp; Percentages'!$E$13</f>
        <v>10146.238507809872</v>
      </c>
      <c r="T200" s="63">
        <v>35</v>
      </c>
      <c r="U200" s="64">
        <v>107</v>
      </c>
      <c r="V200" s="63">
        <v>6439</v>
      </c>
      <c r="W200" s="46">
        <f>T200*'Factors &amp; Percentages'!$E$16+U200*'Factors &amp; Percentages'!$E$17+V200*'Factors &amp; Percentages'!$E$18</f>
        <v>7044.3278902500087</v>
      </c>
      <c r="X200" s="114"/>
      <c r="Y200" s="58">
        <f t="shared" si="27"/>
        <v>31618.298439560669</v>
      </c>
      <c r="Z200" s="71">
        <f t="shared" si="28"/>
        <v>31618.298439560669</v>
      </c>
      <c r="AA200" s="51">
        <f>IF($AE200&gt;$Z200,$AE200*(1+'Factors &amp; Percentages'!$B$3),IF($Y200&gt;$Z200,$Z200,IF($Y200&gt;$AE200,$Y200,$AE200*(1+'Factors &amp; Percentages'!$B$3))))</f>
        <v>31618.298439560669</v>
      </c>
      <c r="AB200" s="59">
        <f t="shared" si="29"/>
        <v>31618.298439560669</v>
      </c>
      <c r="AC200" s="42"/>
      <c r="AD200" s="43">
        <f t="shared" si="30"/>
        <v>31618.298439560669</v>
      </c>
      <c r="AE200" s="75">
        <v>27000</v>
      </c>
      <c r="AF200" s="32"/>
      <c r="AG200" s="33"/>
      <c r="AH200" s="33"/>
      <c r="AI200" s="33"/>
      <c r="AJ200" s="5"/>
    </row>
    <row r="201" spans="1:36" s="89" customFormat="1" x14ac:dyDescent="0.3">
      <c r="A201" s="90" t="s">
        <v>21</v>
      </c>
      <c r="B201" s="78" t="s">
        <v>8</v>
      </c>
      <c r="C201" s="78" t="s">
        <v>8</v>
      </c>
      <c r="D201" s="79"/>
      <c r="E201" s="80">
        <f t="shared" si="24"/>
        <v>13040.984728406143</v>
      </c>
      <c r="F201" s="80"/>
      <c r="G201" s="80">
        <f>15245-3640</f>
        <v>11605</v>
      </c>
      <c r="H201" s="80">
        <v>10913</v>
      </c>
      <c r="I201" s="80">
        <v>21117</v>
      </c>
      <c r="J201" s="80">
        <v>137576</v>
      </c>
      <c r="K201" s="80">
        <v>2265</v>
      </c>
      <c r="L201" s="80"/>
      <c r="M201" s="81">
        <f t="shared" si="25"/>
        <v>11139.5</v>
      </c>
      <c r="N201" s="81">
        <f t="shared" si="26"/>
        <v>34874.6</v>
      </c>
      <c r="O201" s="81">
        <f>SUM(M201*'Factors &amp; Percentages'!$E$6+N201*'Factors &amp; Percentages'!$E$7)</f>
        <v>2939.9723314275252</v>
      </c>
      <c r="P201" s="82">
        <v>0.3</v>
      </c>
      <c r="Q201" s="81">
        <f>P201*'Factors &amp; Percentages'!$E$10</f>
        <v>3289.6727373506228</v>
      </c>
      <c r="R201" s="83">
        <v>2579</v>
      </c>
      <c r="S201" s="81">
        <f>R201*'Factors &amp; Percentages'!$E$13</f>
        <v>4579.4800685407172</v>
      </c>
      <c r="T201" s="84">
        <v>15</v>
      </c>
      <c r="U201" s="84">
        <v>27</v>
      </c>
      <c r="V201" s="84">
        <v>171</v>
      </c>
      <c r="W201" s="81">
        <f>T201*'Factors &amp; Percentages'!$E$16+U201*'Factors &amp; Percentages'!$E$17+V201*'Factors &amp; Percentages'!$E$18</f>
        <v>2231.8595910872782</v>
      </c>
      <c r="X201" s="113"/>
      <c r="Y201" s="81">
        <f t="shared" si="27"/>
        <v>13040.984728406143</v>
      </c>
      <c r="Z201" s="85">
        <f t="shared" si="28"/>
        <v>13040.984728406143</v>
      </c>
      <c r="AA201" s="80">
        <f>IF($AE201&gt;$Z201,$AE201*(1+'Factors &amp; Percentages'!$B$3),IF($Y201&gt;$Z201,$Z201,IF($Y201&gt;$AE201,$Y201,$AE201*(1+'Factors &amp; Percentages'!$B$3))))</f>
        <v>13040.984728406143</v>
      </c>
      <c r="AB201" s="80">
        <f t="shared" si="29"/>
        <v>13040.984728406143</v>
      </c>
      <c r="AC201" s="85"/>
      <c r="AD201" s="80">
        <f t="shared" si="30"/>
        <v>13040.984728406143</v>
      </c>
      <c r="AE201" s="86">
        <v>10250</v>
      </c>
      <c r="AF201" s="87"/>
      <c r="AG201" s="88"/>
      <c r="AH201" s="88"/>
      <c r="AI201" s="88"/>
      <c r="AJ201" s="5"/>
    </row>
    <row r="202" spans="1:36" x14ac:dyDescent="0.3">
      <c r="A202" s="91" t="s">
        <v>183</v>
      </c>
      <c r="B202" s="76" t="s">
        <v>8</v>
      </c>
      <c r="C202" s="76" t="s">
        <v>175</v>
      </c>
      <c r="D202" s="31"/>
      <c r="E202" s="43">
        <f t="shared" si="24"/>
        <v>21000</v>
      </c>
      <c r="F202" s="29"/>
      <c r="G202" s="51">
        <f>26948-200</f>
        <v>26748</v>
      </c>
      <c r="H202" s="59">
        <v>32570</v>
      </c>
      <c r="I202" s="51">
        <v>65436</v>
      </c>
      <c r="J202" s="59">
        <v>62728</v>
      </c>
      <c r="K202" s="49">
        <v>852</v>
      </c>
      <c r="L202" s="29"/>
      <c r="M202" s="62">
        <f t="shared" si="25"/>
        <v>32655.200000000001</v>
      </c>
      <c r="N202" s="58">
        <f t="shared" si="26"/>
        <v>71708.800000000003</v>
      </c>
      <c r="O202" s="46">
        <f>SUM(M202*'Factors &amp; Percentages'!$E$6+N202*'Factors &amp; Percentages'!$E$7)</f>
        <v>6831.176827913775</v>
      </c>
      <c r="P202" s="65">
        <v>0.5</v>
      </c>
      <c r="Q202" s="46">
        <f>P202*'Factors &amp; Percentages'!$E$10</f>
        <v>5482.7878955843717</v>
      </c>
      <c r="R202" s="69">
        <v>621</v>
      </c>
      <c r="S202" s="46">
        <f>R202*'Factors &amp; Percentages'!$E$13</f>
        <v>1102.6976047164737</v>
      </c>
      <c r="T202" s="63">
        <v>27</v>
      </c>
      <c r="U202" s="64">
        <v>64</v>
      </c>
      <c r="V202" s="63">
        <v>7343</v>
      </c>
      <c r="W202" s="46">
        <f>T202*'Factors &amp; Percentages'!$E$16+U202*'Factors &amp; Percentages'!$E$17+V202*'Factors &amp; Percentages'!$E$18</f>
        <v>5513.4229308670419</v>
      </c>
      <c r="X202" s="114"/>
      <c r="Y202" s="58">
        <f t="shared" si="27"/>
        <v>18930.085259081661</v>
      </c>
      <c r="Z202" s="71">
        <f t="shared" si="28"/>
        <v>18930.085259081661</v>
      </c>
      <c r="AA202" s="51">
        <f>IF($AE202&gt;$Z202,$AE202*(1+'Factors &amp; Percentages'!$B$3),IF($Y202&gt;$Z202,$Z202,IF($Y202&gt;$AE202,$Y202,$AE202*(1+'Factors &amp; Percentages'!$B$3))))</f>
        <v>21000</v>
      </c>
      <c r="AB202" s="59">
        <f t="shared" si="29"/>
        <v>21000</v>
      </c>
      <c r="AC202" s="42"/>
      <c r="AD202" s="43">
        <f t="shared" si="30"/>
        <v>21000</v>
      </c>
      <c r="AE202" s="75">
        <v>20000</v>
      </c>
      <c r="AF202" s="32"/>
      <c r="AG202" s="33"/>
      <c r="AH202" s="33"/>
      <c r="AI202" s="33"/>
      <c r="AJ202" s="5"/>
    </row>
    <row r="203" spans="1:36" s="89" customFormat="1" x14ac:dyDescent="0.3">
      <c r="A203" s="90" t="s">
        <v>122</v>
      </c>
      <c r="B203" s="78" t="s">
        <v>43</v>
      </c>
      <c r="C203" s="78" t="s">
        <v>111</v>
      </c>
      <c r="D203" s="79"/>
      <c r="E203" s="80">
        <f t="shared" ref="E203:E210" si="31">+AB203</f>
        <v>22309.350000000002</v>
      </c>
      <c r="F203" s="80"/>
      <c r="G203" s="80">
        <f>39208-11033</f>
        <v>28175</v>
      </c>
      <c r="H203" s="80">
        <v>49661</v>
      </c>
      <c r="I203" s="80">
        <v>14713</v>
      </c>
      <c r="J203" s="80">
        <v>13358</v>
      </c>
      <c r="K203" s="80">
        <v>3428</v>
      </c>
      <c r="L203" s="80"/>
      <c r="M203" s="81">
        <f t="shared" si="25"/>
        <v>50003.8</v>
      </c>
      <c r="N203" s="81">
        <f t="shared" si="26"/>
        <v>16048.8</v>
      </c>
      <c r="O203" s="81">
        <f>SUM(M203*'Factors &amp; Percentages'!$E$6+N203*'Factors &amp; Percentages'!$E$7)</f>
        <v>4970.817478641673</v>
      </c>
      <c r="P203" s="82">
        <v>0.5</v>
      </c>
      <c r="Q203" s="81">
        <f>P203*'Factors &amp; Percentages'!$E$10</f>
        <v>5482.7878955843717</v>
      </c>
      <c r="R203" s="83">
        <v>763</v>
      </c>
      <c r="S203" s="81">
        <f>R203*'Factors &amp; Percentages'!$E$13</f>
        <v>1354.8442389672616</v>
      </c>
      <c r="T203" s="84">
        <v>31</v>
      </c>
      <c r="U203" s="84">
        <v>57</v>
      </c>
      <c r="V203" s="84">
        <v>8900</v>
      </c>
      <c r="W203" s="81">
        <f>T203*'Factors &amp; Percentages'!$E$16+U203*'Factors &amp; Percentages'!$E$17+V203*'Factors &amp; Percentages'!$E$18</f>
        <v>6115.8641369665302</v>
      </c>
      <c r="X203" s="113"/>
      <c r="Y203" s="81">
        <f t="shared" si="27"/>
        <v>17924.313750159836</v>
      </c>
      <c r="Z203" s="85">
        <f t="shared" si="28"/>
        <v>17924.313750159836</v>
      </c>
      <c r="AA203" s="80">
        <f>IF($AE203&gt;$Z203,$AE203*(1+'Factors &amp; Percentages'!$B$3),IF($Y203&gt;$Z203,$Z203,IF($Y203&gt;$AE203,$Y203,$AE203*(1+'Factors &amp; Percentages'!$B$3))))</f>
        <v>22309.350000000002</v>
      </c>
      <c r="AB203" s="80">
        <f t="shared" si="29"/>
        <v>22309.350000000002</v>
      </c>
      <c r="AC203" s="85"/>
      <c r="AD203" s="80">
        <f t="shared" si="30"/>
        <v>22309.350000000002</v>
      </c>
      <c r="AE203" s="86">
        <v>21247</v>
      </c>
      <c r="AF203" s="87"/>
      <c r="AG203" s="88"/>
      <c r="AH203" s="88"/>
      <c r="AI203" s="88"/>
      <c r="AJ203" s="5"/>
    </row>
    <row r="204" spans="1:36" x14ac:dyDescent="0.3">
      <c r="A204" s="91" t="s">
        <v>110</v>
      </c>
      <c r="B204" s="76" t="s">
        <v>43</v>
      </c>
      <c r="C204" s="76" t="s">
        <v>99</v>
      </c>
      <c r="D204" s="31"/>
      <c r="E204" s="43">
        <f t="shared" si="31"/>
        <v>21388.5</v>
      </c>
      <c r="F204" s="29"/>
      <c r="G204" s="51">
        <v>33673</v>
      </c>
      <c r="H204" s="59">
        <v>41046</v>
      </c>
      <c r="I204" s="51">
        <v>28796</v>
      </c>
      <c r="J204" s="59">
        <v>35724</v>
      </c>
      <c r="K204" s="49">
        <v>6392</v>
      </c>
      <c r="L204" s="29"/>
      <c r="M204" s="62">
        <f t="shared" si="25"/>
        <v>41685.199999999997</v>
      </c>
      <c r="N204" s="58">
        <f t="shared" si="26"/>
        <v>32368.400000000001</v>
      </c>
      <c r="O204" s="46">
        <f>SUM(M204*'Factors &amp; Percentages'!$E$6+N204*'Factors &amp; Percentages'!$E$7)</f>
        <v>5255.7273770068414</v>
      </c>
      <c r="P204" s="70">
        <v>0.265625</v>
      </c>
      <c r="Q204" s="46">
        <f>P204*'Factors &amp; Percentages'!$E$10</f>
        <v>2912.7310695291976</v>
      </c>
      <c r="R204" s="69">
        <v>1137</v>
      </c>
      <c r="S204" s="46">
        <f>R204*'Factors &amp; Percentages'!$E$13</f>
        <v>2018.9487545291959</v>
      </c>
      <c r="T204" s="63">
        <v>24</v>
      </c>
      <c r="U204" s="64">
        <v>47</v>
      </c>
      <c r="V204" s="63">
        <v>5801</v>
      </c>
      <c r="W204" s="46">
        <f>T204*'Factors &amp; Percentages'!$E$16+U204*'Factors &amp; Percentages'!$E$17+V204*'Factors &amp; Percentages'!$E$18</f>
        <v>4597.5036232072553</v>
      </c>
      <c r="X204" s="114"/>
      <c r="Y204" s="58">
        <f t="shared" si="27"/>
        <v>14784.910824272491</v>
      </c>
      <c r="Z204" s="71">
        <f t="shared" si="28"/>
        <v>14784.910824272491</v>
      </c>
      <c r="AA204" s="51">
        <f>IF($AE204&gt;$Z204,$AE204*(1+'Factors &amp; Percentages'!$B$3),IF($Y204&gt;$Z204,$Z204,IF($Y204&gt;$AE204,$Y204,$AE204*(1+'Factors &amp; Percentages'!$B$3))))</f>
        <v>21388.5</v>
      </c>
      <c r="AB204" s="59">
        <f t="shared" si="29"/>
        <v>21388.5</v>
      </c>
      <c r="AC204" s="42"/>
      <c r="AD204" s="43">
        <f t="shared" si="30"/>
        <v>21388.5</v>
      </c>
      <c r="AE204" s="75">
        <v>20370</v>
      </c>
      <c r="AF204" s="32"/>
      <c r="AG204" s="33"/>
      <c r="AH204" s="33"/>
      <c r="AI204" s="33"/>
      <c r="AJ204" s="5"/>
    </row>
    <row r="205" spans="1:36" s="89" customFormat="1" x14ac:dyDescent="0.3">
      <c r="A205" s="90" t="s">
        <v>131</v>
      </c>
      <c r="B205" s="78" t="s">
        <v>43</v>
      </c>
      <c r="C205" s="78" t="s">
        <v>123</v>
      </c>
      <c r="D205" s="79"/>
      <c r="E205" s="80">
        <f t="shared" si="31"/>
        <v>28350</v>
      </c>
      <c r="F205" s="80"/>
      <c r="G205" s="80">
        <f>93234-41745</f>
        <v>51489</v>
      </c>
      <c r="H205" s="80">
        <v>61707</v>
      </c>
      <c r="I205" s="80">
        <v>50178</v>
      </c>
      <c r="J205" s="80">
        <v>18373</v>
      </c>
      <c r="K205" s="80">
        <v>0</v>
      </c>
      <c r="L205" s="80"/>
      <c r="M205" s="81">
        <f t="shared" si="25"/>
        <v>61707</v>
      </c>
      <c r="N205" s="81">
        <f t="shared" si="26"/>
        <v>52015.3</v>
      </c>
      <c r="O205" s="81">
        <f>SUM(M205*'Factors &amp; Percentages'!$E$6+N205*'Factors &amp; Percentages'!$E$7)</f>
        <v>8020.1652913985436</v>
      </c>
      <c r="P205" s="82">
        <v>0.5</v>
      </c>
      <c r="Q205" s="81">
        <f>P205*'Factors &amp; Percentages'!$E$10</f>
        <v>5482.7878955843717</v>
      </c>
      <c r="R205" s="83">
        <v>1717</v>
      </c>
      <c r="S205" s="81">
        <f>R205*'Factors &amp; Percentages'!$E$13</f>
        <v>3048.8434578070619</v>
      </c>
      <c r="T205" s="84">
        <v>46</v>
      </c>
      <c r="U205" s="84">
        <v>105</v>
      </c>
      <c r="V205" s="84">
        <v>10921</v>
      </c>
      <c r="W205" s="81">
        <f>T205*'Factors &amp; Percentages'!$E$16+U205*'Factors &amp; Percentages'!$E$17+V205*'Factors &amp; Percentages'!$E$18</f>
        <v>9045.2532573606004</v>
      </c>
      <c r="X205" s="113"/>
      <c r="Y205" s="81">
        <f t="shared" si="27"/>
        <v>25597.049902150578</v>
      </c>
      <c r="Z205" s="85">
        <f t="shared" si="28"/>
        <v>25597.049902150578</v>
      </c>
      <c r="AA205" s="80">
        <f>IF($AE205&gt;$Z205,$AE205*(1+'Factors &amp; Percentages'!$B$3),IF($Y205&gt;$Z205,$Z205,IF($Y205&gt;$AE205,$Y205,$AE205*(1+'Factors &amp; Percentages'!$B$3))))</f>
        <v>28350</v>
      </c>
      <c r="AB205" s="80">
        <f t="shared" si="29"/>
        <v>28350</v>
      </c>
      <c r="AC205" s="85"/>
      <c r="AD205" s="80">
        <f t="shared" si="30"/>
        <v>28350</v>
      </c>
      <c r="AE205" s="86">
        <v>27000</v>
      </c>
      <c r="AF205" s="87"/>
      <c r="AG205" s="88"/>
      <c r="AH205" s="88"/>
      <c r="AI205" s="88"/>
      <c r="AJ205" s="5"/>
    </row>
    <row r="206" spans="1:36" x14ac:dyDescent="0.3">
      <c r="A206" s="91" t="s">
        <v>41</v>
      </c>
      <c r="B206" s="76" t="s">
        <v>8</v>
      </c>
      <c r="C206" s="76" t="s">
        <v>30</v>
      </c>
      <c r="D206" s="31"/>
      <c r="E206" s="43">
        <f t="shared" si="31"/>
        <v>10217.550000000001</v>
      </c>
      <c r="F206" s="29"/>
      <c r="G206" s="51">
        <v>19331</v>
      </c>
      <c r="H206" s="59">
        <v>14937</v>
      </c>
      <c r="I206" s="51">
        <v>7383</v>
      </c>
      <c r="J206" s="59">
        <v>4003</v>
      </c>
      <c r="K206" s="49">
        <v>1185</v>
      </c>
      <c r="L206" s="29"/>
      <c r="M206" s="62">
        <f t="shared" si="25"/>
        <v>15055.5</v>
      </c>
      <c r="N206" s="58">
        <f t="shared" si="26"/>
        <v>7783.3</v>
      </c>
      <c r="O206" s="46">
        <f>SUM(M206*'Factors &amp; Percentages'!$E$6+N206*'Factors &amp; Percentages'!$E$7)</f>
        <v>1669.4455126747816</v>
      </c>
      <c r="P206" s="65">
        <v>0.2</v>
      </c>
      <c r="Q206" s="46">
        <f>P206*'Factors &amp; Percentages'!$E$10</f>
        <v>2193.1151582337488</v>
      </c>
      <c r="R206" s="69">
        <v>8967</v>
      </c>
      <c r="S206" s="46">
        <f>R206*'Factors &amp; Percentages'!$E$13</f>
        <v>15922.527248780385</v>
      </c>
      <c r="T206" s="63">
        <v>19</v>
      </c>
      <c r="U206" s="64">
        <v>36</v>
      </c>
      <c r="V206" s="63">
        <v>408</v>
      </c>
      <c r="W206" s="46">
        <f>T206*'Factors &amp; Percentages'!$E$16+U206*'Factors &amp; Percentages'!$E$17+V206*'Factors &amp; Percentages'!$E$18</f>
        <v>2892.5022690434903</v>
      </c>
      <c r="X206" s="114"/>
      <c r="Y206" s="58">
        <f t="shared" si="27"/>
        <v>22677.590188732403</v>
      </c>
      <c r="Z206" s="71">
        <f t="shared" si="28"/>
        <v>9709.0500000000011</v>
      </c>
      <c r="AA206" s="51">
        <f>IF($AE206&gt;$Z206,$AE206*(1+'Factors &amp; Percentages'!$B$3),IF($Y206&gt;$Z206,$Z206,IF($Y206&gt;$AE206,$Y206,$AE206*(1+'Factors &amp; Percentages'!$B$3))))</f>
        <v>10217.550000000001</v>
      </c>
      <c r="AB206" s="59">
        <f t="shared" si="29"/>
        <v>10217.550000000001</v>
      </c>
      <c r="AC206" s="42"/>
      <c r="AD206" s="43">
        <f t="shared" si="30"/>
        <v>10217.550000000001</v>
      </c>
      <c r="AE206" s="75">
        <v>9731</v>
      </c>
      <c r="AF206" s="32"/>
      <c r="AG206" s="33"/>
      <c r="AH206" s="33"/>
      <c r="AI206" s="33"/>
      <c r="AJ206" s="5"/>
    </row>
    <row r="207" spans="1:36" s="89" customFormat="1" x14ac:dyDescent="0.3">
      <c r="A207" s="90" t="s">
        <v>98</v>
      </c>
      <c r="B207" s="78" t="s">
        <v>75</v>
      </c>
      <c r="C207" s="78" t="s">
        <v>75</v>
      </c>
      <c r="D207" s="79"/>
      <c r="E207" s="80">
        <f t="shared" si="31"/>
        <v>22851.15</v>
      </c>
      <c r="F207" s="80"/>
      <c r="G207" s="80">
        <v>33482</v>
      </c>
      <c r="H207" s="80">
        <v>38900</v>
      </c>
      <c r="I207" s="80">
        <v>26243</v>
      </c>
      <c r="J207" s="80">
        <v>2309</v>
      </c>
      <c r="K207" s="80">
        <v>82</v>
      </c>
      <c r="L207" s="80"/>
      <c r="M207" s="81">
        <f t="shared" si="25"/>
        <v>38908.199999999997</v>
      </c>
      <c r="N207" s="81">
        <f t="shared" si="26"/>
        <v>26473.9</v>
      </c>
      <c r="O207" s="81">
        <f>SUM(M207*'Factors &amp; Percentages'!$E$6+N207*'Factors &amp; Percentages'!$E$7)</f>
        <v>4686.7258913277719</v>
      </c>
      <c r="P207" s="82">
        <v>0.33</v>
      </c>
      <c r="Q207" s="81">
        <f>P207*'Factors &amp; Percentages'!$E$10</f>
        <v>3618.6400110856853</v>
      </c>
      <c r="R207" s="83">
        <v>2569</v>
      </c>
      <c r="S207" s="81">
        <f>R207*'Factors &amp; Percentages'!$E$13</f>
        <v>4561.7232633117892</v>
      </c>
      <c r="T207" s="84">
        <v>22</v>
      </c>
      <c r="U207" s="84">
        <v>65</v>
      </c>
      <c r="V207" s="84">
        <v>8580</v>
      </c>
      <c r="W207" s="81">
        <f>T207*'Factors &amp; Percentages'!$E$16+U207*'Factors &amp; Percentages'!$E$17+V207*'Factors &amp; Percentages'!$E$18</f>
        <v>5173.2415690565867</v>
      </c>
      <c r="X207" s="113"/>
      <c r="Y207" s="81">
        <f t="shared" si="27"/>
        <v>18040.330734781834</v>
      </c>
      <c r="Z207" s="85">
        <f t="shared" si="28"/>
        <v>18040.330734781834</v>
      </c>
      <c r="AA207" s="80">
        <f>IF($AE207&gt;$Z207,$AE207*(1+'Factors &amp; Percentages'!$B$3),IF($Y207&gt;$Z207,$Z207,IF($Y207&gt;$AE207,$Y207,$AE207*(1+'Factors &amp; Percentages'!$B$3))))</f>
        <v>22851.15</v>
      </c>
      <c r="AB207" s="80">
        <f t="shared" si="29"/>
        <v>22851.15</v>
      </c>
      <c r="AC207" s="85"/>
      <c r="AD207" s="80">
        <f t="shared" si="30"/>
        <v>22851.15</v>
      </c>
      <c r="AE207" s="86">
        <v>21763</v>
      </c>
      <c r="AF207" s="87"/>
      <c r="AG207" s="88"/>
      <c r="AH207" s="88"/>
      <c r="AI207" s="88"/>
      <c r="AJ207" s="5"/>
    </row>
    <row r="208" spans="1:36" x14ac:dyDescent="0.3">
      <c r="A208" s="91" t="s">
        <v>22</v>
      </c>
      <c r="B208" s="76" t="s">
        <v>8</v>
      </c>
      <c r="C208" s="76" t="s">
        <v>8</v>
      </c>
      <c r="D208" s="31"/>
      <c r="E208" s="43">
        <f t="shared" si="31"/>
        <v>9530.9500000000007</v>
      </c>
      <c r="F208" s="29"/>
      <c r="G208" s="51">
        <f>13221-200</f>
        <v>13021</v>
      </c>
      <c r="H208" s="59">
        <v>14663</v>
      </c>
      <c r="I208" s="51">
        <v>10803</v>
      </c>
      <c r="J208" s="59">
        <v>19058</v>
      </c>
      <c r="K208" s="49">
        <v>4677</v>
      </c>
      <c r="L208" s="29"/>
      <c r="M208" s="62">
        <f t="shared" si="25"/>
        <v>15130.7</v>
      </c>
      <c r="N208" s="58">
        <f t="shared" si="26"/>
        <v>12708.8</v>
      </c>
      <c r="O208" s="46">
        <f>SUM(M208*'Factors &amp; Percentages'!$E$6+N208*'Factors &amp; Percentages'!$E$7)</f>
        <v>1963.9007278965103</v>
      </c>
      <c r="P208" s="65">
        <v>0.25</v>
      </c>
      <c r="Q208" s="46">
        <f>P208*'Factors &amp; Percentages'!$E$10</f>
        <v>2741.3939477921858</v>
      </c>
      <c r="R208" s="69">
        <v>7666</v>
      </c>
      <c r="S208" s="46">
        <f>R208*'Factors &amp; Percentages'!$E$13</f>
        <v>13612.366888496759</v>
      </c>
      <c r="T208" s="63">
        <v>17</v>
      </c>
      <c r="U208" s="64">
        <v>39</v>
      </c>
      <c r="V208" s="63">
        <v>913</v>
      </c>
      <c r="W208" s="46">
        <f>T208*'Factors &amp; Percentages'!$E$16+U208*'Factors &amp; Percentages'!$E$17+V208*'Factors &amp; Percentages'!$E$18</f>
        <v>2804.8463413486684</v>
      </c>
      <c r="X208" s="114"/>
      <c r="Y208" s="58">
        <f t="shared" si="27"/>
        <v>21122.507905534123</v>
      </c>
      <c r="Z208" s="71">
        <f t="shared" si="28"/>
        <v>9530.9500000000007</v>
      </c>
      <c r="AA208" s="51">
        <f>IF($AE208&gt;$Z208,$AE208*(1+'Factors &amp; Percentages'!$B$3),IF($Y208&gt;$Z208,$Z208,IF($Y208&gt;$AE208,$Y208,$AE208*(1+'Factors &amp; Percentages'!$B$3))))</f>
        <v>9530.9500000000007</v>
      </c>
      <c r="AB208" s="59">
        <f t="shared" si="29"/>
        <v>9530.9500000000007</v>
      </c>
      <c r="AC208" s="42"/>
      <c r="AD208" s="43">
        <f t="shared" si="30"/>
        <v>9530.9500000000007</v>
      </c>
      <c r="AE208" s="75">
        <v>8612</v>
      </c>
      <c r="AF208" s="32"/>
      <c r="AG208" s="33"/>
      <c r="AH208" s="33"/>
      <c r="AI208" s="33"/>
      <c r="AJ208" s="5"/>
    </row>
    <row r="209" spans="1:36" s="89" customFormat="1" x14ac:dyDescent="0.3">
      <c r="A209" s="90" t="s">
        <v>184</v>
      </c>
      <c r="B209" s="78" t="s">
        <v>8</v>
      </c>
      <c r="C209" s="78" t="s">
        <v>175</v>
      </c>
      <c r="D209" s="79"/>
      <c r="E209" s="80">
        <f t="shared" si="31"/>
        <v>22614.9</v>
      </c>
      <c r="F209" s="80"/>
      <c r="G209" s="80">
        <v>37512</v>
      </c>
      <c r="H209" s="80">
        <v>29005</v>
      </c>
      <c r="I209" s="80">
        <v>12984</v>
      </c>
      <c r="J209" s="80">
        <v>352426</v>
      </c>
      <c r="K209" s="80">
        <v>27084</v>
      </c>
      <c r="L209" s="80"/>
      <c r="M209" s="81">
        <f t="shared" si="25"/>
        <v>31713.4</v>
      </c>
      <c r="N209" s="81">
        <f t="shared" si="26"/>
        <v>48226.6</v>
      </c>
      <c r="O209" s="81">
        <f>SUM(M209*'Factors &amp; Percentages'!$E$6+N209*'Factors &amp; Percentages'!$E$7)</f>
        <v>5380.346219797204</v>
      </c>
      <c r="P209" s="82">
        <v>0.25</v>
      </c>
      <c r="Q209" s="81">
        <f>P209*'Factors &amp; Percentages'!$E$10</f>
        <v>2741.3939477921858</v>
      </c>
      <c r="R209" s="83">
        <v>7625</v>
      </c>
      <c r="S209" s="81">
        <f>R209*'Factors &amp; Percentages'!$E$13</f>
        <v>13539.563987058151</v>
      </c>
      <c r="T209" s="84">
        <v>23</v>
      </c>
      <c r="U209" s="84">
        <v>72</v>
      </c>
      <c r="V209" s="84">
        <v>2435</v>
      </c>
      <c r="W209" s="81">
        <f>T209*'Factors &amp; Percentages'!$E$16+U209*'Factors &amp; Percentages'!$E$17+V209*'Factors &amp; Percentages'!$E$18</f>
        <v>4347.9210868460004</v>
      </c>
      <c r="X209" s="113"/>
      <c r="Y209" s="81">
        <f t="shared" si="27"/>
        <v>26009.225241493539</v>
      </c>
      <c r="Z209" s="85">
        <f t="shared" si="28"/>
        <v>18853.25</v>
      </c>
      <c r="AA209" s="80">
        <f>IF($AE209&gt;$Z209,$AE209*(1+'Factors &amp; Percentages'!$B$3),IF($Y209&gt;$Z209,$Z209,IF($Y209&gt;$AE209,$Y209,$AE209*(1+'Factors &amp; Percentages'!$B$3))))</f>
        <v>22614.9</v>
      </c>
      <c r="AB209" s="80">
        <f t="shared" si="29"/>
        <v>22614.9</v>
      </c>
      <c r="AC209" s="85"/>
      <c r="AD209" s="80">
        <f t="shared" si="30"/>
        <v>22614.9</v>
      </c>
      <c r="AE209" s="86">
        <v>21538</v>
      </c>
      <c r="AF209" s="87"/>
      <c r="AG209" s="88"/>
      <c r="AH209" s="88"/>
      <c r="AI209" s="88"/>
      <c r="AJ209" s="5"/>
    </row>
    <row r="210" spans="1:36" x14ac:dyDescent="0.3">
      <c r="A210" s="91" t="s">
        <v>29</v>
      </c>
      <c r="B210" s="76" t="s">
        <v>8</v>
      </c>
      <c r="C210" s="76" t="s">
        <v>8</v>
      </c>
      <c r="D210" s="31"/>
      <c r="E210" s="43">
        <f t="shared" si="31"/>
        <v>5277.1529717184021</v>
      </c>
      <c r="F210" s="29"/>
      <c r="G210" s="51">
        <f>46738-6549</f>
        <v>40189</v>
      </c>
      <c r="H210" s="59">
        <v>43250</v>
      </c>
      <c r="I210" s="51">
        <v>21758</v>
      </c>
      <c r="J210" s="59">
        <v>0</v>
      </c>
      <c r="K210" s="49">
        <v>0</v>
      </c>
      <c r="L210" s="29"/>
      <c r="M210" s="62">
        <f t="shared" si="25"/>
        <v>43250</v>
      </c>
      <c r="N210" s="58">
        <f t="shared" si="26"/>
        <v>21758</v>
      </c>
      <c r="O210" s="46">
        <f>SUM(M210*'Factors &amp; Percentages'!$E$6+N210*'Factors &amp; Percentages'!$E$7)</f>
        <v>4760.6272094787528</v>
      </c>
      <c r="P210" s="65">
        <v>0.2</v>
      </c>
      <c r="Q210" s="46">
        <f>P210*'Factors &amp; Percentages'!$E$10</f>
        <v>2193.1151582337488</v>
      </c>
      <c r="R210" s="69">
        <v>848</v>
      </c>
      <c r="S210" s="46">
        <f>R210*'Factors &amp; Percentages'!$E$13</f>
        <v>1505.7770834131557</v>
      </c>
      <c r="T210" s="63">
        <v>20</v>
      </c>
      <c r="U210" s="64">
        <v>42</v>
      </c>
      <c r="V210" s="63">
        <f>19488/2</f>
        <v>9744</v>
      </c>
      <c r="W210" s="46">
        <f>T210*'Factors &amp; Percentages'!$E$16+U210*'Factors &amp; Percentages'!$E$17+V210*'Factors &amp; Percentages'!$E$18</f>
        <v>4733.3629781703485</v>
      </c>
      <c r="X210" s="114"/>
      <c r="Y210" s="58">
        <f t="shared" si="27"/>
        <v>13192.882429296005</v>
      </c>
      <c r="Z210" s="71">
        <f t="shared" si="28"/>
        <v>13192.882429296005</v>
      </c>
      <c r="AA210" s="51">
        <f>IF($AE210&gt;$Z210,$AE210*(1+'Factors &amp; Percentages'!$B$3),
IF($Y210&gt;$Z210,$Z210,
IF($Y210&gt;$AE210,$Y210,
$AE210*(1+'Factors &amp; Percentages'!$B$3))))*0.4</f>
        <v>5277.1529717184021</v>
      </c>
      <c r="AB210" s="59">
        <f t="shared" si="29"/>
        <v>5277.1529717184021</v>
      </c>
      <c r="AC210" s="42"/>
      <c r="AD210" s="43">
        <f t="shared" si="30"/>
        <v>5277.1529717184021</v>
      </c>
      <c r="AE210" s="75">
        <v>4912</v>
      </c>
      <c r="AF210" s="32"/>
      <c r="AG210" s="33"/>
      <c r="AH210" s="33"/>
      <c r="AI210" s="33"/>
      <c r="AJ210" s="5"/>
    </row>
    <row r="211" spans="1:36" s="89" customFormat="1" x14ac:dyDescent="0.3">
      <c r="A211" s="90"/>
      <c r="B211" s="78"/>
      <c r="C211" s="78"/>
      <c r="D211" s="79"/>
      <c r="E211" s="80"/>
      <c r="F211" s="80"/>
      <c r="G211" s="80"/>
      <c r="H211" s="80"/>
      <c r="I211" s="80"/>
      <c r="J211" s="80"/>
      <c r="K211" s="80"/>
      <c r="L211" s="80"/>
      <c r="M211" s="81"/>
      <c r="N211" s="81"/>
      <c r="O211" s="81"/>
      <c r="P211" s="82"/>
      <c r="Q211" s="81"/>
      <c r="R211" s="83"/>
      <c r="S211" s="81"/>
      <c r="T211" s="84"/>
      <c r="U211" s="84"/>
      <c r="V211" s="84"/>
      <c r="W211" s="81"/>
      <c r="X211" s="113"/>
      <c r="Y211" s="81"/>
      <c r="Z211" s="85"/>
      <c r="AA211" s="80"/>
      <c r="AB211" s="80"/>
      <c r="AC211" s="85"/>
      <c r="AD211" s="80"/>
      <c r="AE211" s="86"/>
      <c r="AF211" s="87"/>
      <c r="AG211" s="88"/>
      <c r="AH211" s="88"/>
      <c r="AI211" s="88"/>
      <c r="AJ211" s="5"/>
    </row>
    <row r="212" spans="1:36" ht="15" thickBot="1" x14ac:dyDescent="0.35">
      <c r="E212" s="44">
        <f>SUM(E3:E210)</f>
        <v>5607118.7666983288</v>
      </c>
      <c r="F212" s="41"/>
      <c r="G212" s="52">
        <f t="shared" ref="G212" si="32">SUM(G3:G211)</f>
        <v>8266550</v>
      </c>
      <c r="H212" s="60">
        <f t="shared" ref="H212:Z212" si="33">SUM(H3:H211)</f>
        <v>9426792</v>
      </c>
      <c r="I212" s="52">
        <f t="shared" si="33"/>
        <v>8198481</v>
      </c>
      <c r="J212" s="60">
        <f t="shared" si="33"/>
        <v>5978055</v>
      </c>
      <c r="K212" s="50">
        <f>SUM(K3:K211)</f>
        <v>1561620</v>
      </c>
      <c r="L212" s="41"/>
      <c r="M212" s="60">
        <f t="shared" si="33"/>
        <v>9582953.9999999981</v>
      </c>
      <c r="N212" s="52">
        <f t="shared" si="33"/>
        <v>8796286.5000000075</v>
      </c>
      <c r="O212" s="47">
        <f t="shared" si="33"/>
        <v>1287577.9093990326</v>
      </c>
      <c r="P212" s="67">
        <f t="shared" si="33"/>
        <v>117.41999999999999</v>
      </c>
      <c r="Q212" s="47">
        <f t="shared" si="33"/>
        <v>1287577.9093990345</v>
      </c>
      <c r="R212" s="67">
        <f t="shared" si="33"/>
        <v>725118</v>
      </c>
      <c r="S212" s="47">
        <f t="shared" si="33"/>
        <v>1287577.9093990349</v>
      </c>
      <c r="T212" s="67">
        <f t="shared" si="33"/>
        <v>6746</v>
      </c>
      <c r="U212" s="68">
        <f t="shared" si="33"/>
        <v>14353</v>
      </c>
      <c r="V212" s="67">
        <f t="shared" si="33"/>
        <v>1485252</v>
      </c>
      <c r="W212" s="47">
        <f t="shared" si="33"/>
        <v>1287577.909399034</v>
      </c>
      <c r="X212" s="115"/>
      <c r="Y212" s="52">
        <f t="shared" si="33"/>
        <v>5150311.637596136</v>
      </c>
      <c r="Z212" s="60">
        <f t="shared" si="33"/>
        <v>4945274.3733979529</v>
      </c>
      <c r="AA212" s="56">
        <f>SUM(AA3:AA210)</f>
        <v>5649878.1777094416</v>
      </c>
      <c r="AB212" s="74">
        <f>SUM(AB3:AB210)</f>
        <v>5615093.9907112969</v>
      </c>
      <c r="AC212" s="29"/>
      <c r="AD212" s="44">
        <f>SUM(AD3:AD210)</f>
        <v>5615093.9907112969</v>
      </c>
      <c r="AE212" s="56">
        <f>SUM(AE3:AE210)</f>
        <v>4417252.7</v>
      </c>
      <c r="AF212" s="36"/>
      <c r="AG212" s="37"/>
      <c r="AH212" s="37"/>
      <c r="AI212" s="37"/>
      <c r="AJ212" s="6"/>
    </row>
    <row r="213" spans="1:36" ht="15" hidden="1" thickTop="1" x14ac:dyDescent="0.3"/>
  </sheetData>
  <sheetProtection selectLockedCells="1"/>
  <autoFilter ref="A2:A210" xr:uid="{00000000-0001-0000-0100-000000000000}"/>
  <sortState xmlns:xlrd2="http://schemas.microsoft.com/office/spreadsheetml/2017/richdata2" ref="A3:BV210">
    <sortCondition ref="A3:A210"/>
  </sortState>
  <mergeCells count="7">
    <mergeCell ref="G1:K1"/>
    <mergeCell ref="Y1:AB1"/>
    <mergeCell ref="AD1:AE1"/>
    <mergeCell ref="M1:O1"/>
    <mergeCell ref="P1:Q1"/>
    <mergeCell ref="R1:S1"/>
    <mergeCell ref="T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33C1-D7AD-4FC3-BF68-190F94C6DB6A}">
  <dimension ref="A1:AV21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17" sqref="A17:XFD17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243</v>
      </c>
      <c r="B3" s="78" t="s">
        <v>43</v>
      </c>
      <c r="C3" s="78" t="s">
        <v>99</v>
      </c>
      <c r="D3" s="79"/>
      <c r="E3" s="80">
        <f t="shared" ref="E3:E6" si="0">+AB3</f>
        <v>19005</v>
      </c>
      <c r="F3" s="80"/>
      <c r="G3" s="80">
        <v>23182</v>
      </c>
      <c r="H3" s="80">
        <v>39985</v>
      </c>
      <c r="I3" s="80">
        <v>30400</v>
      </c>
      <c r="J3" s="80">
        <v>12787</v>
      </c>
      <c r="K3" s="80">
        <v>0</v>
      </c>
      <c r="L3" s="80"/>
      <c r="M3" s="81">
        <f t="shared" ref="M3:M6" si="1">H3+K3*0.1</f>
        <v>39985</v>
      </c>
      <c r="N3" s="81">
        <f t="shared" ref="N3:N6" si="2">I3+0.1*J3</f>
        <v>31678.7</v>
      </c>
      <c r="O3" s="81">
        <f>SUM(M3*'Factors &amp; Percentages'!$E$6+N3*'Factors &amp; Percentages'!$E$7)</f>
        <v>5078.2801455766312</v>
      </c>
      <c r="P3" s="82">
        <v>0.515625</v>
      </c>
      <c r="Q3" s="81">
        <f>P3*'Factors &amp; Percentages'!$E$10</f>
        <v>5654.125017321383</v>
      </c>
      <c r="R3" s="83">
        <v>575</v>
      </c>
      <c r="S3" s="81">
        <f>R3*'Factors &amp; Percentages'!$E$13</f>
        <v>1021.0163006634016</v>
      </c>
      <c r="T3" s="84">
        <v>23</v>
      </c>
      <c r="U3" s="84">
        <v>51</v>
      </c>
      <c r="V3" s="84">
        <v>6206</v>
      </c>
      <c r="W3" s="81">
        <f>T3*'Factors &amp; Percentages'!$E$16+U3*'Factors &amp; Percentages'!$E$17+V3*'Factors &amp; Percentages'!$E$18</f>
        <v>4624.9703399588871</v>
      </c>
      <c r="X3" s="113"/>
      <c r="Y3" s="81">
        <f t="shared" ref="Y3:Y6" si="3">O3+Q3+S3+W3</f>
        <v>16378.391803520302</v>
      </c>
      <c r="Z3" s="85">
        <f t="shared" ref="Z3:Z6" si="4">IF($I3&gt;($H3+$G3)/2,$Y3,MIN(Y3,$H3*0.65))</f>
        <v>16378.391803520302</v>
      </c>
      <c r="AA3" s="80">
        <f>IF($AE3&gt;$Z3,$AE3*(1+'Factors &amp; Percentages'!$B$3),IF($Y3&gt;$Z3,$Z3,IF($Y3&gt;$AE3,$Y3,$AE3*(1+'Factors &amp; Percentages'!$B$3))))</f>
        <v>19005</v>
      </c>
      <c r="AB3" s="80">
        <f t="shared" ref="AB3:AB6" si="5">MIN(AA3,+P3*2*88928)</f>
        <v>19005</v>
      </c>
      <c r="AC3" s="85"/>
      <c r="AD3" s="80">
        <f t="shared" ref="AD3:AD6" si="6">AB3</f>
        <v>19005</v>
      </c>
      <c r="AE3" s="86">
        <v>18100</v>
      </c>
      <c r="AF3" s="87"/>
      <c r="AG3" s="88"/>
      <c r="AH3" s="88"/>
      <c r="AI3" s="88"/>
      <c r="AJ3" s="5"/>
    </row>
    <row r="4" spans="1:36" x14ac:dyDescent="0.3">
      <c r="A4" s="91" t="s">
        <v>100</v>
      </c>
      <c r="B4" s="76" t="s">
        <v>43</v>
      </c>
      <c r="C4" s="76" t="s">
        <v>99</v>
      </c>
      <c r="D4" s="31"/>
      <c r="E4" s="43">
        <f t="shared" si="0"/>
        <v>19604.244040742029</v>
      </c>
      <c r="F4" s="29"/>
      <c r="G4" s="51">
        <v>8512</v>
      </c>
      <c r="H4" s="59">
        <v>10659</v>
      </c>
      <c r="I4" s="51">
        <v>43372</v>
      </c>
      <c r="J4" s="59">
        <v>9357</v>
      </c>
      <c r="K4" s="49">
        <v>0</v>
      </c>
      <c r="L4" s="29"/>
      <c r="M4" s="62">
        <f t="shared" si="1"/>
        <v>10659</v>
      </c>
      <c r="N4" s="58">
        <f t="shared" si="2"/>
        <v>44307.7</v>
      </c>
      <c r="O4" s="46">
        <f>SUM(M4*'Factors &amp; Percentages'!$E$6+N4*'Factors &amp; Percentages'!$E$7)</f>
        <v>3453.5531920997705</v>
      </c>
      <c r="P4" s="65">
        <v>0.21562500000000001</v>
      </c>
      <c r="Q4" s="46">
        <f>P4*'Factors &amp; Percentages'!$E$10</f>
        <v>2364.4522799707602</v>
      </c>
      <c r="R4" s="69">
        <v>5976</v>
      </c>
      <c r="S4" s="46">
        <f>R4*'Factors &amp; Percentages'!$E$13</f>
        <v>10611.466804807804</v>
      </c>
      <c r="T4" s="63">
        <v>20</v>
      </c>
      <c r="U4" s="64">
        <v>35</v>
      </c>
      <c r="V4" s="63">
        <v>1479</v>
      </c>
      <c r="W4" s="46">
        <f>T4*'Factors &amp; Percentages'!$E$16+U4*'Factors &amp; Percentages'!$E$17+V4*'Factors &amp; Percentages'!$E$18</f>
        <v>3174.7717638636987</v>
      </c>
      <c r="X4" s="114"/>
      <c r="Y4" s="58">
        <f t="shared" si="3"/>
        <v>19604.244040742029</v>
      </c>
      <c r="Z4" s="71">
        <f t="shared" si="4"/>
        <v>19604.244040742029</v>
      </c>
      <c r="AA4" s="51">
        <f>IF($AE4&gt;$Z4,$AE4*(1+'Factors &amp; Percentages'!$B$3),IF($Y4&gt;$Z4,$Z4,IF($Y4&gt;$AE4,$Y4,$AE4*(1+'Factors &amp; Percentages'!$B$3))))</f>
        <v>19604.244040742029</v>
      </c>
      <c r="AB4" s="59">
        <f t="shared" si="5"/>
        <v>19604.244040742029</v>
      </c>
      <c r="AC4" s="42"/>
      <c r="AD4" s="43">
        <f t="shared" si="6"/>
        <v>19604.244040742029</v>
      </c>
      <c r="AE4" s="75">
        <v>8223</v>
      </c>
      <c r="AF4" s="32"/>
      <c r="AG4" s="33"/>
      <c r="AH4" s="33"/>
      <c r="AI4" s="33"/>
      <c r="AJ4" s="5"/>
    </row>
    <row r="5" spans="1:36" s="89" customFormat="1" x14ac:dyDescent="0.3">
      <c r="A5" s="90" t="s">
        <v>99</v>
      </c>
      <c r="B5" s="78" t="s">
        <v>43</v>
      </c>
      <c r="C5" s="78" t="s">
        <v>99</v>
      </c>
      <c r="D5" s="79"/>
      <c r="E5" s="80">
        <f t="shared" si="0"/>
        <v>18929.677917615249</v>
      </c>
      <c r="F5" s="80"/>
      <c r="G5" s="80">
        <f>31717-1274</f>
        <v>30443</v>
      </c>
      <c r="H5" s="80">
        <v>42969</v>
      </c>
      <c r="I5" s="80">
        <v>33696</v>
      </c>
      <c r="J5" s="80">
        <v>1438</v>
      </c>
      <c r="K5" s="80">
        <v>3</v>
      </c>
      <c r="L5" s="80"/>
      <c r="M5" s="81">
        <f t="shared" si="1"/>
        <v>42969.3</v>
      </c>
      <c r="N5" s="81">
        <f t="shared" si="2"/>
        <v>33839.800000000003</v>
      </c>
      <c r="O5" s="81">
        <f>SUM(M5*'Factors &amp; Percentages'!$E$6+N5*'Factors &amp; Percentages'!$E$7)</f>
        <v>5445.3992710324464</v>
      </c>
      <c r="P5" s="82">
        <v>0.41562500000000002</v>
      </c>
      <c r="Q5" s="81">
        <f>P5*'Factors &amp; Percentages'!$E$10</f>
        <v>4557.567438204509</v>
      </c>
      <c r="R5" s="83">
        <v>2043</v>
      </c>
      <c r="S5" s="81">
        <f>R5*'Factors &amp; Percentages'!$E$13</f>
        <v>3627.7153082701379</v>
      </c>
      <c r="T5" s="84">
        <v>28</v>
      </c>
      <c r="U5" s="84">
        <v>76</v>
      </c>
      <c r="V5" s="84">
        <v>4204</v>
      </c>
      <c r="W5" s="81">
        <f>T5*'Factors &amp; Percentages'!$E$16+U5*'Factors &amp; Percentages'!$E$17+V5*'Factors &amp; Percentages'!$E$18</f>
        <v>5298.9959001081552</v>
      </c>
      <c r="X5" s="113"/>
      <c r="Y5" s="81">
        <f t="shared" si="3"/>
        <v>18929.677917615249</v>
      </c>
      <c r="Z5" s="85">
        <f t="shared" si="4"/>
        <v>18929.677917615249</v>
      </c>
      <c r="AA5" s="80">
        <f>IF($AE5&gt;$Z5,$AE5*(1+'Factors &amp; Percentages'!$B$3),IF($Y5&gt;$Z5,$Z5,IF($Y5&gt;$AE5,$Y5,$AE5*(1+'Factors &amp; Percentages'!$B$3))))</f>
        <v>18929.677917615249</v>
      </c>
      <c r="AB5" s="80">
        <f t="shared" si="5"/>
        <v>18929.677917615249</v>
      </c>
      <c r="AC5" s="85"/>
      <c r="AD5" s="80">
        <f t="shared" si="6"/>
        <v>18929.677917615249</v>
      </c>
      <c r="AE5" s="86">
        <v>11894</v>
      </c>
      <c r="AF5" s="87"/>
      <c r="AG5" s="88"/>
      <c r="AH5" s="88"/>
      <c r="AI5" s="88"/>
      <c r="AJ5" s="5"/>
    </row>
    <row r="6" spans="1:36" x14ac:dyDescent="0.3">
      <c r="A6" s="91" t="s">
        <v>101</v>
      </c>
      <c r="B6" s="76" t="s">
        <v>43</v>
      </c>
      <c r="C6" s="76" t="s">
        <v>99</v>
      </c>
      <c r="D6" s="31"/>
      <c r="E6" s="43">
        <f t="shared" si="0"/>
        <v>11234.072838407999</v>
      </c>
      <c r="F6" s="29"/>
      <c r="G6" s="51">
        <v>13562</v>
      </c>
      <c r="H6" s="59">
        <v>15032</v>
      </c>
      <c r="I6" s="51">
        <v>45176</v>
      </c>
      <c r="J6" s="59">
        <v>14122</v>
      </c>
      <c r="K6" s="49">
        <v>6870</v>
      </c>
      <c r="L6" s="29"/>
      <c r="M6" s="62">
        <f t="shared" si="1"/>
        <v>15719</v>
      </c>
      <c r="N6" s="58">
        <f t="shared" si="2"/>
        <v>46588.2</v>
      </c>
      <c r="O6" s="46">
        <f>SUM(M6*'Factors &amp; Percentages'!$E$6+N6*'Factors &amp; Percentages'!$E$7)</f>
        <v>3994.9995221752679</v>
      </c>
      <c r="P6" s="65">
        <v>0.41562500000000002</v>
      </c>
      <c r="Q6" s="46">
        <f>P6*'Factors &amp; Percentages'!$E$10</f>
        <v>4557.567438204509</v>
      </c>
      <c r="R6" s="69">
        <v>238</v>
      </c>
      <c r="S6" s="46">
        <f>R6*'Factors &amp; Percentages'!$E$13</f>
        <v>422.61196444850361</v>
      </c>
      <c r="T6" s="63">
        <v>10</v>
      </c>
      <c r="U6" s="64">
        <v>30</v>
      </c>
      <c r="V6" s="63">
        <v>3319</v>
      </c>
      <c r="W6" s="46">
        <f>T6*'Factors &amp; Percentages'!$E$16+U6*'Factors &amp; Percentages'!$E$17+V6*'Factors &amp; Percentages'!$E$18</f>
        <v>2258.8939135797195</v>
      </c>
      <c r="X6" s="114"/>
      <c r="Y6" s="58">
        <f t="shared" si="3"/>
        <v>11234.072838407999</v>
      </c>
      <c r="Z6" s="71">
        <f t="shared" si="4"/>
        <v>11234.072838407999</v>
      </c>
      <c r="AA6" s="51">
        <f>IF($AE6&gt;$Z6,$AE6*(1+'Factors &amp; Percentages'!$B$3),IF($Y6&gt;$Z6,$Z6,IF($Y6&gt;$AE6,$Y6,$AE6*(1+'Factors &amp; Percentages'!$B$3))))</f>
        <v>11234.072838407999</v>
      </c>
      <c r="AB6" s="59">
        <f t="shared" si="5"/>
        <v>11234.072838407999</v>
      </c>
      <c r="AC6" s="42"/>
      <c r="AD6" s="43">
        <f t="shared" si="6"/>
        <v>11234.072838407999</v>
      </c>
      <c r="AE6" s="75">
        <v>0</v>
      </c>
      <c r="AF6" s="32"/>
      <c r="AG6" s="33"/>
      <c r="AH6" s="33"/>
      <c r="AI6" s="33"/>
      <c r="AJ6" s="5"/>
    </row>
    <row r="7" spans="1:36" s="89" customFormat="1" x14ac:dyDescent="0.3">
      <c r="A7" s="90" t="s">
        <v>224</v>
      </c>
      <c r="B7" s="78" t="s">
        <v>43</v>
      </c>
      <c r="C7" s="78" t="s">
        <v>99</v>
      </c>
      <c r="D7" s="79"/>
      <c r="E7" s="80">
        <f t="shared" ref="E7:E9" si="7">+AB7</f>
        <v>7054.6290018472819</v>
      </c>
      <c r="F7" s="80"/>
      <c r="G7" s="80">
        <v>10974</v>
      </c>
      <c r="H7" s="80">
        <v>10974</v>
      </c>
      <c r="I7" s="80">
        <v>3799</v>
      </c>
      <c r="J7" s="80">
        <v>7612</v>
      </c>
      <c r="K7" s="80">
        <v>366</v>
      </c>
      <c r="L7" s="80"/>
      <c r="M7" s="81">
        <f t="shared" ref="M7:M9" si="8">H7+K7*0.1</f>
        <v>11010.6</v>
      </c>
      <c r="N7" s="81">
        <f t="shared" ref="N7:N9" si="9">I7+0.1*J7</f>
        <v>4560.2</v>
      </c>
      <c r="O7" s="81">
        <f>SUM(M7*'Factors &amp; Percentages'!$E$6+N7*'Factors &amp; Percentages'!$E$7)</f>
        <v>1154.6431098156011</v>
      </c>
      <c r="P7" s="82">
        <v>0.265625</v>
      </c>
      <c r="Q7" s="81">
        <f>P7*'Factors &amp; Percentages'!$E$10</f>
        <v>2912.7310695291976</v>
      </c>
      <c r="R7" s="83">
        <v>457</v>
      </c>
      <c r="S7" s="81">
        <f>R7*'Factors &amp; Percentages'!$E$13</f>
        <v>811.48599896204257</v>
      </c>
      <c r="T7" s="84">
        <v>12</v>
      </c>
      <c r="U7" s="84">
        <v>27</v>
      </c>
      <c r="V7" s="84">
        <v>1829</v>
      </c>
      <c r="W7" s="81">
        <f>T7*'Factors &amp; Percentages'!$E$16+U7*'Factors &amp; Percentages'!$E$17+V7*'Factors &amp; Percentages'!$E$18</f>
        <v>2175.7688235404403</v>
      </c>
      <c r="X7" s="113"/>
      <c r="Y7" s="81">
        <f t="shared" ref="Y7:Y9" si="10">O7+Q7+S7+W7</f>
        <v>7054.6290018472819</v>
      </c>
      <c r="Z7" s="85">
        <f t="shared" ref="Z7:Z9" si="11">IF($I7&gt;($H7+$G7)/2,$Y7,MIN(Y7,$H7*0.65))</f>
        <v>7054.6290018472819</v>
      </c>
      <c r="AA7" s="80">
        <f>IF($AE7&gt;$Z7,$AE7*(1+'Factors &amp; Percentages'!$B$3),IF($Y7&gt;$Z7,$Z7,IF($Y7&gt;$AE7,$Y7,$AE7*(1+'Factors &amp; Percentages'!$B$3))))</f>
        <v>7054.6290018472819</v>
      </c>
      <c r="AB7" s="80">
        <f t="shared" ref="AB7:AB9" si="12">MIN(AA7,+P7*2*88928)</f>
        <v>7054.6290018472819</v>
      </c>
      <c r="AC7" s="85"/>
      <c r="AD7" s="80">
        <f t="shared" ref="AD7:AD9" si="13">AB7</f>
        <v>7054.6290018472819</v>
      </c>
      <c r="AE7" s="86">
        <v>4000</v>
      </c>
      <c r="AF7" s="87"/>
      <c r="AG7" s="88"/>
      <c r="AH7" s="88"/>
      <c r="AI7" s="88"/>
      <c r="AJ7" s="5"/>
    </row>
    <row r="8" spans="1:36" x14ac:dyDescent="0.3">
      <c r="A8" s="91" t="s">
        <v>102</v>
      </c>
      <c r="B8" s="76" t="s">
        <v>43</v>
      </c>
      <c r="C8" s="76" t="s">
        <v>99</v>
      </c>
      <c r="D8" s="31"/>
      <c r="E8" s="43">
        <f t="shared" si="7"/>
        <v>14107.800000000001</v>
      </c>
      <c r="F8" s="29"/>
      <c r="G8" s="51">
        <v>14958</v>
      </c>
      <c r="H8" s="59">
        <v>19674</v>
      </c>
      <c r="I8" s="51">
        <v>38514</v>
      </c>
      <c r="J8" s="59">
        <v>3599</v>
      </c>
      <c r="K8" s="49">
        <v>1173</v>
      </c>
      <c r="L8" s="29"/>
      <c r="M8" s="62">
        <f t="shared" si="8"/>
        <v>19791.3</v>
      </c>
      <c r="N8" s="58">
        <f t="shared" si="9"/>
        <v>38873.9</v>
      </c>
      <c r="O8" s="46">
        <f>SUM(M8*'Factors &amp; Percentages'!$E$6+N8*'Factors &amp; Percentages'!$E$7)</f>
        <v>3871.6153744939757</v>
      </c>
      <c r="P8" s="65">
        <v>0.265625</v>
      </c>
      <c r="Q8" s="46">
        <f>P8*'Factors &amp; Percentages'!$E$10</f>
        <v>2912.7310695291976</v>
      </c>
      <c r="R8" s="69">
        <v>2061</v>
      </c>
      <c r="S8" s="46">
        <f>R8*'Factors &amp; Percentages'!$E$13</f>
        <v>3659.6775576822097</v>
      </c>
      <c r="T8" s="63">
        <v>16</v>
      </c>
      <c r="U8" s="64">
        <v>31</v>
      </c>
      <c r="V8" s="63">
        <v>483</v>
      </c>
      <c r="W8" s="46">
        <f>T8*'Factors &amp; Percentages'!$E$16+U8*'Factors &amp; Percentages'!$E$17+V8*'Factors &amp; Percentages'!$E$18</f>
        <v>2472.2402716039651</v>
      </c>
      <c r="X8" s="114"/>
      <c r="Y8" s="58">
        <f t="shared" si="10"/>
        <v>12916.264273309347</v>
      </c>
      <c r="Z8" s="71">
        <f t="shared" si="11"/>
        <v>12916.264273309347</v>
      </c>
      <c r="AA8" s="51">
        <f>IF($AE8&gt;$Z8,$AE8*(1+'Factors &amp; Percentages'!$B$3),IF($Y8&gt;$Z8,$Z8,IF($Y8&gt;$AE8,$Y8,$AE8*(1+'Factors &amp; Percentages'!$B$3))))</f>
        <v>14107.800000000001</v>
      </c>
      <c r="AB8" s="59">
        <f t="shared" si="12"/>
        <v>14107.800000000001</v>
      </c>
      <c r="AC8" s="42"/>
      <c r="AD8" s="43">
        <f t="shared" si="13"/>
        <v>14107.800000000001</v>
      </c>
      <c r="AE8" s="75">
        <v>13436</v>
      </c>
      <c r="AF8" s="32"/>
      <c r="AG8" s="33"/>
      <c r="AH8" s="33"/>
      <c r="AI8" s="33"/>
      <c r="AJ8" s="5"/>
    </row>
    <row r="9" spans="1:36" s="89" customFormat="1" x14ac:dyDescent="0.3">
      <c r="A9" s="90" t="s">
        <v>103</v>
      </c>
      <c r="B9" s="78" t="s">
        <v>43</v>
      </c>
      <c r="C9" s="78" t="s">
        <v>99</v>
      </c>
      <c r="D9" s="79"/>
      <c r="E9" s="80">
        <f t="shared" si="7"/>
        <v>24198.3</v>
      </c>
      <c r="F9" s="80"/>
      <c r="G9" s="80">
        <v>47728</v>
      </c>
      <c r="H9" s="80">
        <v>49751</v>
      </c>
      <c r="I9" s="80">
        <v>8789</v>
      </c>
      <c r="J9" s="80">
        <v>1275</v>
      </c>
      <c r="K9" s="80">
        <v>10805</v>
      </c>
      <c r="L9" s="80"/>
      <c r="M9" s="81">
        <f t="shared" si="8"/>
        <v>50831.5</v>
      </c>
      <c r="N9" s="81">
        <f t="shared" si="9"/>
        <v>8916.5</v>
      </c>
      <c r="O9" s="81">
        <f>SUM(M9*'Factors &amp; Percentages'!$E$6+N9*'Factors &amp; Percentages'!$E$7)</f>
        <v>4619.9408452262487</v>
      </c>
      <c r="P9" s="82">
        <v>0.515625</v>
      </c>
      <c r="Q9" s="81">
        <f>P9*'Factors &amp; Percentages'!$E$10</f>
        <v>5654.125017321383</v>
      </c>
      <c r="R9" s="83">
        <v>183</v>
      </c>
      <c r="S9" s="81">
        <f>R9*'Factors &amp; Percentages'!$E$13</f>
        <v>324.94953568939565</v>
      </c>
      <c r="T9" s="84">
        <v>46</v>
      </c>
      <c r="U9" s="84">
        <v>84</v>
      </c>
      <c r="V9" s="84">
        <v>6828</v>
      </c>
      <c r="W9" s="81">
        <f>T9*'Factors &amp; Percentages'!$E$16+U9*'Factors &amp; Percentages'!$E$17+V9*'Factors &amp; Percentages'!$E$18</f>
        <v>7958.8284765029557</v>
      </c>
      <c r="X9" s="113"/>
      <c r="Y9" s="81">
        <f t="shared" si="10"/>
        <v>18557.843874739981</v>
      </c>
      <c r="Z9" s="85">
        <f t="shared" si="11"/>
        <v>18557.843874739981</v>
      </c>
      <c r="AA9" s="80">
        <f>IF($AE9&gt;$Z9,$AE9*(1+'Factors &amp; Percentages'!$B$3),IF($Y9&gt;$Z9,$Z9,IF($Y9&gt;$AE9,$Y9,$AE9*(1+'Factors &amp; Percentages'!$B$3))))</f>
        <v>24198.3</v>
      </c>
      <c r="AB9" s="80">
        <f t="shared" si="12"/>
        <v>24198.3</v>
      </c>
      <c r="AC9" s="85"/>
      <c r="AD9" s="80">
        <f t="shared" si="13"/>
        <v>24198.3</v>
      </c>
      <c r="AE9" s="86">
        <v>23046</v>
      </c>
      <c r="AF9" s="87"/>
      <c r="AG9" s="88"/>
      <c r="AH9" s="88"/>
      <c r="AI9" s="88"/>
      <c r="AJ9" s="5"/>
    </row>
    <row r="10" spans="1:36" x14ac:dyDescent="0.3">
      <c r="A10" s="91" t="s">
        <v>104</v>
      </c>
      <c r="B10" s="76" t="s">
        <v>43</v>
      </c>
      <c r="C10" s="76" t="s">
        <v>99</v>
      </c>
      <c r="D10" s="31"/>
      <c r="E10" s="43">
        <f t="shared" ref="E10:E11" si="14">+AB10</f>
        <v>17706.150000000001</v>
      </c>
      <c r="F10" s="29"/>
      <c r="G10" s="51">
        <v>27654</v>
      </c>
      <c r="H10" s="59">
        <v>32195</v>
      </c>
      <c r="I10" s="51">
        <v>25080</v>
      </c>
      <c r="J10" s="59">
        <v>8292</v>
      </c>
      <c r="K10" s="49">
        <v>11967</v>
      </c>
      <c r="L10" s="29"/>
      <c r="M10" s="62">
        <f t="shared" ref="M10:M16" si="15">H10+K10*0.1</f>
        <v>33391.699999999997</v>
      </c>
      <c r="N10" s="58">
        <f t="shared" ref="N10:N16" si="16">I10+0.1*J10</f>
        <v>25909.200000000001</v>
      </c>
      <c r="O10" s="46">
        <f>SUM(M10*'Factors &amp; Percentages'!$E$6+N10*'Factors &amp; Percentages'!$E$7)</f>
        <v>4208.9397736700066</v>
      </c>
      <c r="P10" s="65">
        <v>0.41562500000000002</v>
      </c>
      <c r="Q10" s="46">
        <f>P10*'Factors &amp; Percentages'!$E$10</f>
        <v>4557.567438204509</v>
      </c>
      <c r="R10" s="69">
        <v>1099</v>
      </c>
      <c r="S10" s="46">
        <f>R10*'Factors &amp; Percentages'!$E$13</f>
        <v>1951.4728946592666</v>
      </c>
      <c r="T10" s="63">
        <v>28</v>
      </c>
      <c r="U10" s="64">
        <v>54</v>
      </c>
      <c r="V10" s="63">
        <v>7839</v>
      </c>
      <c r="W10" s="46">
        <f>T10*'Factors &amp; Percentages'!$E$16+U10*'Factors &amp; Percentages'!$E$17+V10*'Factors &amp; Percentages'!$E$18</f>
        <v>5534.5236501894888</v>
      </c>
      <c r="X10" s="114"/>
      <c r="Y10" s="58">
        <f t="shared" ref="Y10:Y16" si="17">O10+Q10+S10+W10</f>
        <v>16252.50375672327</v>
      </c>
      <c r="Z10" s="71">
        <f t="shared" ref="Z10:Z16" si="18">IF($I10&gt;($H10+$G10)/2,$Y10,MIN(Y10,$H10*0.65))</f>
        <v>16252.50375672327</v>
      </c>
      <c r="AA10" s="51">
        <f>IF($AE10&gt;$Z10,$AE10*(1+'Factors &amp; Percentages'!$B$3),IF($Y10&gt;$Z10,$Z10,IF($Y10&gt;$AE10,$Y10,$AE10*(1+'Factors &amp; Percentages'!$B$3))))</f>
        <v>17706.150000000001</v>
      </c>
      <c r="AB10" s="59">
        <f t="shared" ref="AB10:AB16" si="19">MIN(AA10,+P10*2*88928)</f>
        <v>17706.150000000001</v>
      </c>
      <c r="AC10" s="42"/>
      <c r="AD10" s="43">
        <f t="shared" ref="AD10:AD16" si="20">AB10</f>
        <v>17706.150000000001</v>
      </c>
      <c r="AE10" s="75">
        <v>16863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105</v>
      </c>
      <c r="B11" s="78" t="s">
        <v>43</v>
      </c>
      <c r="C11" s="78" t="s">
        <v>99</v>
      </c>
      <c r="D11" s="79"/>
      <c r="E11" s="80">
        <f t="shared" si="14"/>
        <v>13657.800000000001</v>
      </c>
      <c r="F11" s="80"/>
      <c r="G11" s="80">
        <f>25987-3185</f>
        <v>22802</v>
      </c>
      <c r="H11" s="80">
        <v>21012</v>
      </c>
      <c r="I11" s="80">
        <v>5486</v>
      </c>
      <c r="J11" s="80">
        <v>25461</v>
      </c>
      <c r="K11" s="80">
        <v>5060</v>
      </c>
      <c r="L11" s="80"/>
      <c r="M11" s="81">
        <f t="shared" si="15"/>
        <v>21518</v>
      </c>
      <c r="N11" s="81">
        <f t="shared" si="16"/>
        <v>8032.1</v>
      </c>
      <c r="O11" s="81">
        <f>SUM(M11*'Factors &amp; Percentages'!$E$6+N11*'Factors &amp; Percentages'!$E$7)</f>
        <v>2204.9988360681291</v>
      </c>
      <c r="P11" s="82">
        <v>0.765625</v>
      </c>
      <c r="Q11" s="81">
        <f>P11*'Factors &amp; Percentages'!$E$10</f>
        <v>8395.5189651135697</v>
      </c>
      <c r="R11" s="83">
        <v>3008</v>
      </c>
      <c r="S11" s="81">
        <f>R11*'Factors &amp; Percentages'!$E$13</f>
        <v>5341.2470128617597</v>
      </c>
      <c r="T11" s="84">
        <v>11</v>
      </c>
      <c r="U11" s="84">
        <v>34</v>
      </c>
      <c r="V11" s="84">
        <v>8450</v>
      </c>
      <c r="W11" s="81">
        <f>T11*'Factors &amp; Percentages'!$E$16+U11*'Factors &amp; Percentages'!$E$17+V11*'Factors &amp; Percentages'!$E$18</f>
        <v>3334.8012179143097</v>
      </c>
      <c r="X11" s="113"/>
      <c r="Y11" s="81">
        <f t="shared" si="17"/>
        <v>19276.566031957766</v>
      </c>
      <c r="Z11" s="85">
        <f t="shared" si="18"/>
        <v>13657.800000000001</v>
      </c>
      <c r="AA11" s="80">
        <f>IF($AE11&gt;$Z11,$AE11*(1+'Factors &amp; Percentages'!$B$3),IF($Y11&gt;$Z11,$Z11,IF($Y11&gt;$AE11,$Y11,$AE11*(1+'Factors &amp; Percentages'!$B$3))))</f>
        <v>13657.800000000001</v>
      </c>
      <c r="AB11" s="80">
        <f t="shared" si="19"/>
        <v>13657.800000000001</v>
      </c>
      <c r="AC11" s="85"/>
      <c r="AD11" s="80">
        <f t="shared" si="20"/>
        <v>13657.800000000001</v>
      </c>
      <c r="AE11" s="86">
        <v>7000</v>
      </c>
      <c r="AF11" s="87"/>
      <c r="AG11" s="88"/>
      <c r="AH11" s="88"/>
      <c r="AI11" s="88"/>
      <c r="AJ11" s="5"/>
    </row>
    <row r="12" spans="1:36" x14ac:dyDescent="0.3">
      <c r="A12" s="91" t="s">
        <v>106</v>
      </c>
      <c r="B12" s="76" t="s">
        <v>43</v>
      </c>
      <c r="C12" s="76" t="s">
        <v>99</v>
      </c>
      <c r="D12" s="31"/>
      <c r="E12" s="43">
        <f t="shared" ref="E12:E17" si="21">+AB12</f>
        <v>40950</v>
      </c>
      <c r="F12" s="29"/>
      <c r="G12" s="51">
        <v>59030</v>
      </c>
      <c r="H12" s="59">
        <v>64093</v>
      </c>
      <c r="I12" s="51">
        <v>29247</v>
      </c>
      <c r="J12" s="59">
        <v>13432</v>
      </c>
      <c r="K12" s="49">
        <v>10136</v>
      </c>
      <c r="L12" s="29"/>
      <c r="M12" s="62">
        <f t="shared" si="15"/>
        <v>65106.6</v>
      </c>
      <c r="N12" s="58">
        <f t="shared" si="16"/>
        <v>30590.2</v>
      </c>
      <c r="O12" s="46">
        <f>SUM(M12*'Factors &amp; Percentages'!$E$6+N12*'Factors &amp; Percentages'!$E$7)</f>
        <v>7039.7695182620182</v>
      </c>
      <c r="P12" s="65">
        <v>1.015625</v>
      </c>
      <c r="Q12" s="46">
        <f>P12*'Factors &amp; Percentages'!$E$10</f>
        <v>11136.912912905755</v>
      </c>
      <c r="R12" s="69">
        <v>521</v>
      </c>
      <c r="S12" s="46">
        <f>R12*'Factors &amp; Percentages'!$E$13</f>
        <v>925.12955242718647</v>
      </c>
      <c r="T12" s="63">
        <v>38</v>
      </c>
      <c r="U12" s="64">
        <v>96</v>
      </c>
      <c r="V12" s="63">
        <v>19994</v>
      </c>
      <c r="W12" s="46">
        <f>T12*'Factors &amp; Percentages'!$E$16+U12*'Factors &amp; Percentages'!$E$17+V12*'Factors &amp; Percentages'!$E$18</f>
        <v>9540.7176831493452</v>
      </c>
      <c r="X12" s="114"/>
      <c r="Y12" s="58">
        <f t="shared" si="17"/>
        <v>28642.529666744307</v>
      </c>
      <c r="Z12" s="71">
        <f t="shared" si="18"/>
        <v>28642.529666744307</v>
      </c>
      <c r="AA12" s="51">
        <f>IF($AE12&gt;$Z12,$AE12*(1+'Factors &amp; Percentages'!$B$3),IF($Y12&gt;$Z12,$Z12,IF($Y12&gt;$AE12,$Y12,$AE12*(1+'Factors &amp; Percentages'!$B$3))))</f>
        <v>40950</v>
      </c>
      <c r="AB12" s="59">
        <f t="shared" si="19"/>
        <v>40950</v>
      </c>
      <c r="AC12" s="42"/>
      <c r="AD12" s="43">
        <f t="shared" si="20"/>
        <v>40950</v>
      </c>
      <c r="AE12" s="75">
        <v>39000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108</v>
      </c>
      <c r="B13" s="78" t="s">
        <v>43</v>
      </c>
      <c r="C13" s="78" t="s">
        <v>99</v>
      </c>
      <c r="D13" s="79"/>
      <c r="E13" s="80">
        <f t="shared" si="21"/>
        <v>25541.131361426771</v>
      </c>
      <c r="F13" s="80"/>
      <c r="G13" s="80">
        <v>64113</v>
      </c>
      <c r="H13" s="80">
        <v>55133</v>
      </c>
      <c r="I13" s="80">
        <v>36949</v>
      </c>
      <c r="J13" s="80">
        <v>0</v>
      </c>
      <c r="K13" s="80">
        <v>428</v>
      </c>
      <c r="L13" s="80"/>
      <c r="M13" s="81">
        <f t="shared" si="15"/>
        <v>55175.8</v>
      </c>
      <c r="N13" s="81">
        <f t="shared" si="16"/>
        <v>36949</v>
      </c>
      <c r="O13" s="81">
        <f>SUM(M13*'Factors &amp; Percentages'!$E$6+N13*'Factors &amp; Percentages'!$E$7)</f>
        <v>6611.4945026522164</v>
      </c>
      <c r="P13" s="82">
        <v>0.81562500000000004</v>
      </c>
      <c r="Q13" s="81">
        <f>P13*'Factors &amp; Percentages'!$E$10</f>
        <v>8943.7977546720067</v>
      </c>
      <c r="R13" s="83">
        <v>531</v>
      </c>
      <c r="S13" s="81">
        <f>R13*'Factors &amp; Percentages'!$E$13</f>
        <v>942.88635765611514</v>
      </c>
      <c r="T13" s="84">
        <v>52</v>
      </c>
      <c r="U13" s="84">
        <v>69</v>
      </c>
      <c r="V13" s="84">
        <v>10670</v>
      </c>
      <c r="W13" s="81">
        <f>T13*'Factors &amp; Percentages'!$E$16+U13*'Factors &amp; Percentages'!$E$17+V13*'Factors &amp; Percentages'!$E$18</f>
        <v>9042.9527464464318</v>
      </c>
      <c r="X13" s="113"/>
      <c r="Y13" s="81">
        <f t="shared" si="17"/>
        <v>25541.131361426771</v>
      </c>
      <c r="Z13" s="85">
        <f t="shared" si="18"/>
        <v>25541.131361426771</v>
      </c>
      <c r="AA13" s="80">
        <f>IF($AE13&gt;$Z13,$AE13*(1+'Factors &amp; Percentages'!$B$3),IF($Y13&gt;$Z13,$Z13,IF($Y13&gt;$AE13,$Y13,$AE13*(1+'Factors &amp; Percentages'!$B$3))))</f>
        <v>25541.131361426771</v>
      </c>
      <c r="AB13" s="80">
        <f t="shared" si="19"/>
        <v>25541.131361426771</v>
      </c>
      <c r="AC13" s="85"/>
      <c r="AD13" s="80">
        <f t="shared" si="20"/>
        <v>25541.131361426771</v>
      </c>
      <c r="AE13" s="86">
        <v>22400</v>
      </c>
      <c r="AF13" s="87"/>
      <c r="AG13" s="88"/>
      <c r="AH13" s="88"/>
      <c r="AI13" s="88"/>
      <c r="AJ13" s="5"/>
    </row>
    <row r="14" spans="1:36" x14ac:dyDescent="0.3">
      <c r="A14" s="91" t="s">
        <v>107</v>
      </c>
      <c r="B14" s="76" t="s">
        <v>43</v>
      </c>
      <c r="C14" s="76" t="s">
        <v>99</v>
      </c>
      <c r="D14" s="31"/>
      <c r="E14" s="43">
        <f t="shared" si="21"/>
        <v>28342.135788567812</v>
      </c>
      <c r="F14" s="29"/>
      <c r="G14" s="51">
        <v>7411</v>
      </c>
      <c r="H14" s="59">
        <v>20600</v>
      </c>
      <c r="I14" s="51">
        <v>40342</v>
      </c>
      <c r="J14" s="59">
        <v>0</v>
      </c>
      <c r="K14" s="49">
        <v>0</v>
      </c>
      <c r="L14" s="29"/>
      <c r="M14" s="62">
        <f t="shared" si="15"/>
        <v>20600</v>
      </c>
      <c r="N14" s="58">
        <f t="shared" si="16"/>
        <v>40342</v>
      </c>
      <c r="O14" s="46">
        <f>SUM(M14*'Factors &amp; Percentages'!$E$6+N14*'Factors &amp; Percentages'!$E$7)</f>
        <v>4022.7688404635455</v>
      </c>
      <c r="P14" s="70">
        <v>0.21562500000000001</v>
      </c>
      <c r="Q14" s="46">
        <f>P14*'Factors &amp; Percentages'!$E$10</f>
        <v>2364.4522799707602</v>
      </c>
      <c r="R14" s="69">
        <v>10434</v>
      </c>
      <c r="S14" s="46">
        <f>R14*'Factors &amp; Percentages'!$E$13</f>
        <v>18527.45057586423</v>
      </c>
      <c r="T14" s="63">
        <v>16</v>
      </c>
      <c r="U14" s="64">
        <v>63</v>
      </c>
      <c r="V14" s="63">
        <v>2681</v>
      </c>
      <c r="W14" s="46">
        <f>T14*'Factors &amp; Percentages'!$E$16+U14*'Factors &amp; Percentages'!$E$17+V14*'Factors &amp; Percentages'!$E$18</f>
        <v>3427.4640922692756</v>
      </c>
      <c r="X14" s="114"/>
      <c r="Y14" s="58">
        <f t="shared" si="17"/>
        <v>28342.135788567812</v>
      </c>
      <c r="Z14" s="71">
        <f t="shared" si="18"/>
        <v>28342.135788567812</v>
      </c>
      <c r="AA14" s="51">
        <f>IF($AE14&gt;$Z14,$AE14*(1+'Factors &amp; Percentages'!$B$3),IF($Y14&gt;$Z14,$Z14,IF($Y14&gt;$AE14,$Y14,$AE14*(1+'Factors &amp; Percentages'!$B$3))))</f>
        <v>28342.135788567812</v>
      </c>
      <c r="AB14" s="59">
        <f t="shared" si="19"/>
        <v>28342.135788567812</v>
      </c>
      <c r="AC14" s="42"/>
      <c r="AD14" s="43">
        <f t="shared" si="20"/>
        <v>28342.135788567812</v>
      </c>
      <c r="AE14" s="75">
        <v>6803</v>
      </c>
      <c r="AF14" s="32"/>
      <c r="AG14" s="33"/>
      <c r="AH14" s="33"/>
      <c r="AI14" s="33"/>
      <c r="AJ14" s="5"/>
    </row>
    <row r="15" spans="1:36" s="89" customFormat="1" x14ac:dyDescent="0.3">
      <c r="A15" s="90" t="s">
        <v>218</v>
      </c>
      <c r="B15" s="78" t="s">
        <v>43</v>
      </c>
      <c r="C15" s="78" t="s">
        <v>99</v>
      </c>
      <c r="D15" s="79"/>
      <c r="E15" s="80">
        <f t="shared" si="21"/>
        <v>12254.299582334937</v>
      </c>
      <c r="F15" s="80"/>
      <c r="G15" s="80">
        <v>33784</v>
      </c>
      <c r="H15" s="80">
        <v>30569</v>
      </c>
      <c r="I15" s="80">
        <v>34713</v>
      </c>
      <c r="J15" s="80">
        <v>195</v>
      </c>
      <c r="K15" s="80">
        <v>46</v>
      </c>
      <c r="L15" s="80"/>
      <c r="M15" s="81">
        <f t="shared" si="15"/>
        <v>30573.599999999999</v>
      </c>
      <c r="N15" s="81">
        <f t="shared" si="16"/>
        <v>34732.5</v>
      </c>
      <c r="O15" s="81">
        <f>SUM(M15*'Factors &amp; Percentages'!$E$6+N15*'Factors &amp; Percentages'!$E$7)</f>
        <v>4498.3665002513872</v>
      </c>
      <c r="P15" s="82">
        <v>0.265625</v>
      </c>
      <c r="Q15" s="81">
        <f>P15*'Factors &amp; Percentages'!$E$10</f>
        <v>2912.7310695291976</v>
      </c>
      <c r="R15" s="83">
        <v>504</v>
      </c>
      <c r="S15" s="81">
        <f>R15*'Factors &amp; Percentages'!$E$13</f>
        <v>894.94298353800764</v>
      </c>
      <c r="T15" s="84">
        <v>19</v>
      </c>
      <c r="U15" s="84">
        <v>51</v>
      </c>
      <c r="V15" s="84">
        <v>4945</v>
      </c>
      <c r="W15" s="81">
        <f>T15*'Factors &amp; Percentages'!$E$16+U15*'Factors &amp; Percentages'!$E$17+V15*'Factors &amp; Percentages'!$E$18</f>
        <v>3948.2590290163466</v>
      </c>
      <c r="X15" s="113"/>
      <c r="Y15" s="81">
        <f t="shared" si="17"/>
        <v>12254.299582334937</v>
      </c>
      <c r="Z15" s="85">
        <f t="shared" si="18"/>
        <v>12254.299582334937</v>
      </c>
      <c r="AA15" s="80">
        <f>IF($AE15&gt;$Z15,$AE15*(1+'Factors &amp; Percentages'!$B$3),IF($Y15&gt;$Z15,$Z15,IF($Y15&gt;$AE15,$Y15,$AE15*(1+'Factors &amp; Percentages'!$B$3))))</f>
        <v>12254.299582334937</v>
      </c>
      <c r="AB15" s="80">
        <f t="shared" si="19"/>
        <v>12254.299582334937</v>
      </c>
      <c r="AC15" s="85"/>
      <c r="AD15" s="80">
        <f t="shared" si="20"/>
        <v>12254.299582334937</v>
      </c>
      <c r="AE15" s="86">
        <v>12000</v>
      </c>
      <c r="AF15" s="87"/>
      <c r="AG15" s="88"/>
      <c r="AH15" s="88"/>
      <c r="AI15" s="88"/>
      <c r="AJ15" s="5"/>
    </row>
    <row r="16" spans="1:36" x14ac:dyDescent="0.3">
      <c r="A16" s="91" t="s">
        <v>109</v>
      </c>
      <c r="B16" s="76" t="s">
        <v>43</v>
      </c>
      <c r="C16" s="76" t="s">
        <v>99</v>
      </c>
      <c r="D16" s="31"/>
      <c r="E16" s="43">
        <f t="shared" si="21"/>
        <v>13201.398980712071</v>
      </c>
      <c r="F16" s="29"/>
      <c r="G16" s="51">
        <v>19535</v>
      </c>
      <c r="H16" s="59">
        <v>26311</v>
      </c>
      <c r="I16" s="51">
        <v>20835</v>
      </c>
      <c r="J16" s="59">
        <v>25060</v>
      </c>
      <c r="K16" s="49">
        <v>3321</v>
      </c>
      <c r="L16" s="29"/>
      <c r="M16" s="62">
        <f t="shared" si="15"/>
        <v>26643.1</v>
      </c>
      <c r="N16" s="58">
        <f t="shared" si="16"/>
        <v>23341</v>
      </c>
      <c r="O16" s="46">
        <f>SUM(M16*'Factors &amp; Percentages'!$E$6+N16*'Factors &amp; Percentages'!$E$7)</f>
        <v>3514.5188591674796</v>
      </c>
      <c r="P16" s="70">
        <v>0.41562500000000002</v>
      </c>
      <c r="Q16" s="46">
        <f>P16*'Factors &amp; Percentages'!$E$10</f>
        <v>4557.567438204509</v>
      </c>
      <c r="R16" s="69">
        <v>1245</v>
      </c>
      <c r="S16" s="46">
        <f>R16*'Factors &amp; Percentages'!$E$13</f>
        <v>2210.7222510016259</v>
      </c>
      <c r="T16" s="63">
        <v>15</v>
      </c>
      <c r="U16" s="64">
        <v>37</v>
      </c>
      <c r="V16" s="63">
        <v>3097</v>
      </c>
      <c r="W16" s="46">
        <f>T16*'Factors &amp; Percentages'!$E$16+U16*'Factors &amp; Percentages'!$E$17+V16*'Factors &amp; Percentages'!$E$18</f>
        <v>2918.5904323384566</v>
      </c>
      <c r="X16" s="114"/>
      <c r="Y16" s="58">
        <f t="shared" si="17"/>
        <v>13201.398980712071</v>
      </c>
      <c r="Z16" s="71">
        <f t="shared" si="18"/>
        <v>13201.398980712071</v>
      </c>
      <c r="AA16" s="51">
        <f>IF($AE16&gt;$Z16,$AE16*(1+'Factors &amp; Percentages'!$B$3),IF($Y16&gt;$Z16,$Z16,IF($Y16&gt;$AE16,$Y16,$AE16*(1+'Factors &amp; Percentages'!$B$3))))</f>
        <v>13201.398980712071</v>
      </c>
      <c r="AB16" s="59">
        <f t="shared" si="19"/>
        <v>13201.398980712071</v>
      </c>
      <c r="AC16" s="42"/>
      <c r="AD16" s="43">
        <f t="shared" si="20"/>
        <v>13201.398980712071</v>
      </c>
      <c r="AE16" s="75">
        <v>10000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225</v>
      </c>
      <c r="B17" s="78" t="s">
        <v>43</v>
      </c>
      <c r="C17" s="78" t="s">
        <v>99</v>
      </c>
      <c r="D17" s="79"/>
      <c r="E17" s="80">
        <f t="shared" si="21"/>
        <v>10763.580142801229</v>
      </c>
      <c r="F17" s="80"/>
      <c r="G17" s="80">
        <f>19651-150</f>
        <v>19501</v>
      </c>
      <c r="H17" s="80">
        <v>23728</v>
      </c>
      <c r="I17" s="80">
        <v>19057</v>
      </c>
      <c r="J17" s="80">
        <v>6726</v>
      </c>
      <c r="K17" s="80">
        <v>1</v>
      </c>
      <c r="L17" s="80"/>
      <c r="M17" s="81">
        <f t="shared" ref="M17:M18" si="22">H17+K17*0.1</f>
        <v>23728.1</v>
      </c>
      <c r="N17" s="81">
        <f t="shared" ref="N17:N18" si="23">I17+0.1*J17</f>
        <v>19729.599999999999</v>
      </c>
      <c r="O17" s="81">
        <f>SUM(M17*'Factors &amp; Percentages'!$E$6+N17*'Factors &amp; Percentages'!$E$7)</f>
        <v>3068.0699943363325</v>
      </c>
      <c r="P17" s="82">
        <v>0.265625</v>
      </c>
      <c r="Q17" s="81">
        <f>P17*'Factors &amp; Percentages'!$E$10</f>
        <v>2912.7310695291976</v>
      </c>
      <c r="R17" s="83">
        <v>609</v>
      </c>
      <c r="S17" s="81">
        <f>R17*'Factors &amp; Percentages'!$E$13</f>
        <v>1081.3894384417592</v>
      </c>
      <c r="T17" s="84">
        <v>17</v>
      </c>
      <c r="U17" s="84">
        <v>43</v>
      </c>
      <c r="V17" s="84">
        <v>5670</v>
      </c>
      <c r="W17" s="81">
        <f>T17*'Factors &amp; Percentages'!$E$16+U17*'Factors &amp; Percentages'!$E$17+V17*'Factors &amp; Percentages'!$E$18</f>
        <v>3701.3896404939401</v>
      </c>
      <c r="X17" s="113"/>
      <c r="Y17" s="81">
        <f t="shared" ref="Y17:Y18" si="24">O17+Q17+S17+W17</f>
        <v>10763.580142801229</v>
      </c>
      <c r="Z17" s="85">
        <f t="shared" ref="Z17:Z18" si="25">IF($I17&gt;($H17+$G17)/2,$Y17,MIN(Y17,$H17*0.65))</f>
        <v>10763.580142801229</v>
      </c>
      <c r="AA17" s="80">
        <f>IF($AE17&gt;$Z17,$AE17*(1+'Factors &amp; Percentages'!$B$3),IF($Y17&gt;$Z17,$Z17,IF($Y17&gt;$AE17,$Y17,$AE17*(1+'Factors &amp; Percentages'!$B$3))))</f>
        <v>10763.580142801229</v>
      </c>
      <c r="AB17" s="80">
        <f t="shared" ref="AB17:AB18" si="26">MIN(AA17,+P17*2*88928)</f>
        <v>10763.580142801229</v>
      </c>
      <c r="AC17" s="85"/>
      <c r="AD17" s="80">
        <f t="shared" ref="AD17:AD18" si="27">AB17</f>
        <v>10763.580142801229</v>
      </c>
      <c r="AE17" s="86">
        <v>6600</v>
      </c>
      <c r="AF17" s="87"/>
      <c r="AG17" s="88"/>
      <c r="AH17" s="88"/>
      <c r="AI17" s="88"/>
      <c r="AJ17" s="5"/>
    </row>
    <row r="18" spans="1:36" x14ac:dyDescent="0.3">
      <c r="A18" s="91" t="s">
        <v>110</v>
      </c>
      <c r="B18" s="76" t="s">
        <v>43</v>
      </c>
      <c r="C18" s="76" t="s">
        <v>99</v>
      </c>
      <c r="D18" s="31"/>
      <c r="E18" s="43">
        <f t="shared" ref="E18" si="28">+AB18</f>
        <v>21388.5</v>
      </c>
      <c r="F18" s="29"/>
      <c r="G18" s="51">
        <v>33673</v>
      </c>
      <c r="H18" s="59">
        <v>41046</v>
      </c>
      <c r="I18" s="51">
        <v>28796</v>
      </c>
      <c r="J18" s="59">
        <v>35724</v>
      </c>
      <c r="K18" s="49">
        <v>6392</v>
      </c>
      <c r="L18" s="29"/>
      <c r="M18" s="62">
        <f t="shared" si="22"/>
        <v>41685.199999999997</v>
      </c>
      <c r="N18" s="58">
        <f t="shared" si="23"/>
        <v>32368.400000000001</v>
      </c>
      <c r="O18" s="46">
        <f>SUM(M18*'Factors &amp; Percentages'!$E$6+N18*'Factors &amp; Percentages'!$E$7)</f>
        <v>5255.7273770068414</v>
      </c>
      <c r="P18" s="70">
        <v>0.265625</v>
      </c>
      <c r="Q18" s="46">
        <f>P18*'Factors &amp; Percentages'!$E$10</f>
        <v>2912.7310695291976</v>
      </c>
      <c r="R18" s="69">
        <v>1137</v>
      </c>
      <c r="S18" s="46">
        <f>R18*'Factors &amp; Percentages'!$E$13</f>
        <v>2018.9487545291959</v>
      </c>
      <c r="T18" s="63">
        <v>24</v>
      </c>
      <c r="U18" s="64">
        <v>47</v>
      </c>
      <c r="V18" s="63">
        <v>5801</v>
      </c>
      <c r="W18" s="46">
        <f>T18*'Factors &amp; Percentages'!$E$16+U18*'Factors &amp; Percentages'!$E$17+V18*'Factors &amp; Percentages'!$E$18</f>
        <v>4597.5036232072553</v>
      </c>
      <c r="X18" s="114"/>
      <c r="Y18" s="58">
        <f t="shared" si="24"/>
        <v>14784.910824272491</v>
      </c>
      <c r="Z18" s="71">
        <f t="shared" si="25"/>
        <v>14784.910824272491</v>
      </c>
      <c r="AA18" s="51">
        <f>IF($AE18&gt;$Z18,$AE18*(1+'Factors &amp; Percentages'!$B$3),IF($Y18&gt;$Z18,$Z18,IF($Y18&gt;$AE18,$Y18,$AE18*(1+'Factors &amp; Percentages'!$B$3))))</f>
        <v>21388.5</v>
      </c>
      <c r="AB18" s="59">
        <f t="shared" si="26"/>
        <v>21388.5</v>
      </c>
      <c r="AC18" s="42"/>
      <c r="AD18" s="43">
        <f t="shared" si="27"/>
        <v>21388.5</v>
      </c>
      <c r="AE18" s="75">
        <v>20370</v>
      </c>
      <c r="AF18" s="32"/>
      <c r="AG18" s="33"/>
      <c r="AH18" s="33"/>
      <c r="AI18" s="33"/>
      <c r="AJ18" s="5"/>
    </row>
    <row r="19" spans="1:36" s="89" customFormat="1" x14ac:dyDescent="0.3">
      <c r="A19" s="90"/>
      <c r="B19" s="78"/>
      <c r="C19" s="78"/>
      <c r="D19" s="79"/>
      <c r="E19" s="80"/>
      <c r="F19" s="80"/>
      <c r="G19" s="80"/>
      <c r="H19" s="80"/>
      <c r="I19" s="80"/>
      <c r="J19" s="80"/>
      <c r="K19" s="80"/>
      <c r="L19" s="80"/>
      <c r="M19" s="81"/>
      <c r="N19" s="81"/>
      <c r="O19" s="81"/>
      <c r="P19" s="82"/>
      <c r="Q19" s="81"/>
      <c r="R19" s="83"/>
      <c r="S19" s="81"/>
      <c r="T19" s="84"/>
      <c r="U19" s="84"/>
      <c r="V19" s="84"/>
      <c r="W19" s="81"/>
      <c r="X19" s="113"/>
      <c r="Y19" s="81"/>
      <c r="Z19" s="85"/>
      <c r="AA19" s="80"/>
      <c r="AB19" s="80"/>
      <c r="AC19" s="85"/>
      <c r="AD19" s="80"/>
      <c r="AE19" s="86"/>
      <c r="AF19" s="87"/>
      <c r="AG19" s="88"/>
      <c r="AH19" s="88"/>
      <c r="AI19" s="88"/>
      <c r="AJ19" s="5"/>
    </row>
    <row r="20" spans="1:36" ht="15" thickBot="1" x14ac:dyDescent="0.35">
      <c r="E20" s="44">
        <f>SUM(E3:E18)</f>
        <v>297938.71965445537</v>
      </c>
      <c r="F20" s="41"/>
      <c r="G20" s="52">
        <f>SUM(G3:G19)</f>
        <v>436862</v>
      </c>
      <c r="H20" s="60">
        <f>SUM(H3:H19)</f>
        <v>503731</v>
      </c>
      <c r="I20" s="52">
        <f>SUM(I3:I19)</f>
        <v>444251</v>
      </c>
      <c r="J20" s="60">
        <f>SUM(J3:J19)</f>
        <v>165080</v>
      </c>
      <c r="K20" s="50">
        <f>SUM(K3:K19)</f>
        <v>56568</v>
      </c>
      <c r="L20" s="41"/>
      <c r="M20" s="60">
        <f t="shared" ref="M20:W20" si="29">SUM(M3:M19)</f>
        <v>509387.79999999993</v>
      </c>
      <c r="N20" s="52">
        <f t="shared" si="29"/>
        <v>460759</v>
      </c>
      <c r="O20" s="47">
        <f t="shared" si="29"/>
        <v>68043.085662297904</v>
      </c>
      <c r="P20" s="67">
        <f t="shared" si="29"/>
        <v>7.0500000000000007</v>
      </c>
      <c r="Q20" s="47">
        <f t="shared" si="29"/>
        <v>77307.30932773964</v>
      </c>
      <c r="R20" s="67">
        <f t="shared" si="29"/>
        <v>30621</v>
      </c>
      <c r="S20" s="47">
        <f t="shared" si="29"/>
        <v>54373.113291502639</v>
      </c>
      <c r="T20" s="67">
        <f t="shared" si="29"/>
        <v>375</v>
      </c>
      <c r="U20" s="68">
        <f t="shared" si="29"/>
        <v>828</v>
      </c>
      <c r="V20" s="67">
        <f t="shared" si="29"/>
        <v>93495</v>
      </c>
      <c r="W20" s="47">
        <f t="shared" si="29"/>
        <v>74010.671604182688</v>
      </c>
      <c r="X20" s="115"/>
      <c r="Y20" s="52">
        <f>SUM(Y3:Y19)</f>
        <v>273734.17988572281</v>
      </c>
      <c r="Z20" s="60">
        <f>SUM(Z3:Z19)</f>
        <v>268115.41385376506</v>
      </c>
      <c r="AA20" s="56">
        <f>SUM(AA3:AA18)</f>
        <v>297938.71965445537</v>
      </c>
      <c r="AB20" s="74">
        <f>SUM(AB3:AB18)</f>
        <v>297938.71965445537</v>
      </c>
      <c r="AC20" s="29"/>
      <c r="AD20" s="44">
        <f>SUM(AD3:AD18)</f>
        <v>297938.71965445537</v>
      </c>
      <c r="AE20" s="56">
        <f>SUM(AE3:AE18)</f>
        <v>219735</v>
      </c>
      <c r="AF20" s="36"/>
      <c r="AG20" s="37"/>
      <c r="AH20" s="37"/>
      <c r="AI20" s="37"/>
      <c r="AJ20" s="6"/>
    </row>
    <row r="21" spans="1:36" ht="15" hidden="1" thickTop="1" x14ac:dyDescent="0.3"/>
  </sheetData>
  <sheetProtection algorithmName="SHA-512" hashValue="xM+FYqU2WBqt1Ghe/QOYYyiKl7uzQOXgO2CrUNFIfQs8tmqjVtx4mT2ocd8YGOU+Yu+v/Ol5kQLXTiIIk5PLRw==" saltValue="5tHuZ/lX0zYY2STXo6Fe+g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E3DC-6509-4AAD-B9A8-0893640E0A17}">
  <dimension ref="A1:AV30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26" sqref="A26:XFD26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76</v>
      </c>
      <c r="B3" s="78" t="s">
        <v>75</v>
      </c>
      <c r="C3" s="78" t="s">
        <v>75</v>
      </c>
      <c r="D3" s="79"/>
      <c r="E3" s="80">
        <f t="shared" ref="E3:E14" si="0">+AB3</f>
        <v>17205.713594542671</v>
      </c>
      <c r="F3" s="80"/>
      <c r="G3" s="80">
        <v>11540</v>
      </c>
      <c r="H3" s="80">
        <v>13966</v>
      </c>
      <c r="I3" s="80">
        <v>134035</v>
      </c>
      <c r="J3" s="80">
        <v>5645</v>
      </c>
      <c r="K3" s="80">
        <v>5950</v>
      </c>
      <c r="L3" s="80"/>
      <c r="M3" s="81">
        <f t="shared" ref="M3:M14" si="1">H3+K3*0.1</f>
        <v>14561</v>
      </c>
      <c r="N3" s="81">
        <f t="shared" ref="N3:N14" si="2">I3+0.1*J3</f>
        <v>134599.5</v>
      </c>
      <c r="O3" s="81">
        <f>SUM(M3*'Factors &amp; Percentages'!$E$6+N3*'Factors &amp; Percentages'!$E$7)</f>
        <v>9054.7928630483457</v>
      </c>
      <c r="P3" s="82">
        <v>0.2</v>
      </c>
      <c r="Q3" s="81">
        <f>P3*'Factors &amp; Percentages'!$E$10</f>
        <v>2193.1151582337488</v>
      </c>
      <c r="R3" s="83">
        <v>1602</v>
      </c>
      <c r="S3" s="81">
        <f>R3*'Factors &amp; Percentages'!$E$13</f>
        <v>2844.6401976743814</v>
      </c>
      <c r="T3" s="84">
        <v>20</v>
      </c>
      <c r="U3" s="84">
        <v>26</v>
      </c>
      <c r="V3" s="84">
        <v>2055</v>
      </c>
      <c r="W3" s="81">
        <f>T3*'Factors &amp; Percentages'!$E$16+U3*'Factors &amp; Percentages'!$E$17+V3*'Factors &amp; Percentages'!$E$18</f>
        <v>3113.1653755861917</v>
      </c>
      <c r="X3" s="113"/>
      <c r="Y3" s="81">
        <f t="shared" ref="Y3:Y14" si="3">O3+Q3+S3+W3</f>
        <v>17205.713594542671</v>
      </c>
      <c r="Z3" s="85">
        <f t="shared" ref="Z3:Z14" si="4">IF($I3&gt;($H3+$G3)/2,$Y3,MIN(Y3,$H3*0.65))</f>
        <v>17205.713594542671</v>
      </c>
      <c r="AA3" s="80">
        <f>IF($AE3&gt;$Z3,$AE3*(1+'Factors &amp; Percentages'!$B$3),IF($Y3&gt;$Z3,$Z3,IF($Y3&gt;$AE3,$Y3,$AE3*(1+'Factors &amp; Percentages'!$B$3))))</f>
        <v>17205.713594542671</v>
      </c>
      <c r="AB3" s="80">
        <f t="shared" ref="AB3:AB14" si="5">MIN(AA3,+P3*2*88928)</f>
        <v>17205.713594542671</v>
      </c>
      <c r="AC3" s="85"/>
      <c r="AD3" s="80">
        <f t="shared" ref="AD3:AD14" si="6">AB3</f>
        <v>17205.713594542671</v>
      </c>
      <c r="AE3" s="86">
        <v>7501</v>
      </c>
      <c r="AF3" s="87"/>
      <c r="AG3" s="88"/>
      <c r="AH3" s="88"/>
      <c r="AI3" s="88"/>
      <c r="AJ3" s="5"/>
    </row>
    <row r="4" spans="1:36" x14ac:dyDescent="0.3">
      <c r="A4" s="91" t="s">
        <v>77</v>
      </c>
      <c r="B4" s="76" t="s">
        <v>75</v>
      </c>
      <c r="C4" s="76" t="s">
        <v>75</v>
      </c>
      <c r="D4" s="31"/>
      <c r="E4" s="43">
        <f t="shared" si="0"/>
        <v>59850</v>
      </c>
      <c r="F4" s="29"/>
      <c r="G4" s="51">
        <f>88893-23138</f>
        <v>65755</v>
      </c>
      <c r="H4" s="59">
        <v>59034</v>
      </c>
      <c r="I4" s="51">
        <v>38803</v>
      </c>
      <c r="J4" s="59">
        <v>10000</v>
      </c>
      <c r="K4" s="49">
        <v>0</v>
      </c>
      <c r="L4" s="29"/>
      <c r="M4" s="62">
        <f t="shared" si="1"/>
        <v>59034</v>
      </c>
      <c r="N4" s="58">
        <f t="shared" si="2"/>
        <v>39803</v>
      </c>
      <c r="O4" s="46">
        <f>SUM(M4*'Factors &amp; Percentages'!$E$6+N4*'Factors &amp; Percentages'!$E$7)</f>
        <v>7089.6345901731838</v>
      </c>
      <c r="P4" s="65">
        <v>0.5</v>
      </c>
      <c r="Q4" s="46">
        <f>P4*'Factors &amp; Percentages'!$E$10</f>
        <v>5482.7878955843717</v>
      </c>
      <c r="R4" s="69">
        <v>9576</v>
      </c>
      <c r="S4" s="46">
        <f>R4*'Factors &amp; Percentages'!$E$13</f>
        <v>17003.916687222143</v>
      </c>
      <c r="T4" s="63">
        <v>45</v>
      </c>
      <c r="U4" s="64">
        <v>138</v>
      </c>
      <c r="V4" s="63">
        <v>8131</v>
      </c>
      <c r="W4" s="46">
        <f>T4*'Factors &amp; Percentages'!$E$16+U4*'Factors &amp; Percentages'!$E$17+V4*'Factors &amp; Percentages'!$E$18</f>
        <v>9039.0712923788251</v>
      </c>
      <c r="X4" s="114"/>
      <c r="Y4" s="58">
        <f t="shared" si="3"/>
        <v>38615.410465358524</v>
      </c>
      <c r="Z4" s="71">
        <f t="shared" si="4"/>
        <v>38372.1</v>
      </c>
      <c r="AA4" s="51">
        <f>IF($AE4&gt;$Z4,$AE4*(1+'Factors &amp; Percentages'!$B$3),IF($Y4&gt;$Z4,$Z4,IF($Y4&gt;$AE4,$Y4,$AE4*(1+'Factors &amp; Percentages'!$B$3))))</f>
        <v>59850</v>
      </c>
      <c r="AB4" s="59">
        <f t="shared" si="5"/>
        <v>59850</v>
      </c>
      <c r="AC4" s="42"/>
      <c r="AD4" s="43">
        <f t="shared" si="6"/>
        <v>59850</v>
      </c>
      <c r="AE4" s="75">
        <v>57000</v>
      </c>
      <c r="AF4" s="32"/>
      <c r="AG4" s="33"/>
      <c r="AH4" s="33"/>
      <c r="AI4" s="33"/>
      <c r="AJ4" s="5"/>
    </row>
    <row r="5" spans="1:36" s="89" customFormat="1" x14ac:dyDescent="0.3">
      <c r="A5" s="90" t="s">
        <v>78</v>
      </c>
      <c r="B5" s="78" t="s">
        <v>75</v>
      </c>
      <c r="C5" s="78" t="s">
        <v>75</v>
      </c>
      <c r="D5" s="79"/>
      <c r="E5" s="80">
        <f t="shared" si="0"/>
        <v>35571.200000000004</v>
      </c>
      <c r="F5" s="80"/>
      <c r="G5" s="80">
        <f>57844-2152</f>
        <v>55692</v>
      </c>
      <c r="H5" s="80">
        <v>58072</v>
      </c>
      <c r="I5" s="80">
        <v>30765</v>
      </c>
      <c r="J5" s="80">
        <v>0</v>
      </c>
      <c r="K5" s="80">
        <v>4361</v>
      </c>
      <c r="L5" s="80"/>
      <c r="M5" s="81">
        <f t="shared" si="1"/>
        <v>58508.1</v>
      </c>
      <c r="N5" s="81">
        <f t="shared" si="2"/>
        <v>30765</v>
      </c>
      <c r="O5" s="81">
        <f>SUM(M5*'Factors &amp; Percentages'!$E$6+N5*'Factors &amp; Percentages'!$E$7)</f>
        <v>6518.0545085260692</v>
      </c>
      <c r="P5" s="82">
        <v>0.2</v>
      </c>
      <c r="Q5" s="81">
        <f>P5*'Factors &amp; Percentages'!$E$10</f>
        <v>2193.1151582337488</v>
      </c>
      <c r="R5" s="83">
        <v>5201</v>
      </c>
      <c r="S5" s="81">
        <f>R5*'Factors &amp; Percentages'!$E$13</f>
        <v>9235.3143995658284</v>
      </c>
      <c r="T5" s="84">
        <v>46</v>
      </c>
      <c r="U5" s="84">
        <v>99</v>
      </c>
      <c r="V5" s="84">
        <v>471</v>
      </c>
      <c r="W5" s="81">
        <f>T5*'Factors &amp; Percentages'!$E$16+U5*'Factors &amp; Percentages'!$E$17+V5*'Factors &amp; Percentages'!$E$18</f>
        <v>7125.7645185110396</v>
      </c>
      <c r="X5" s="113"/>
      <c r="Y5" s="81">
        <f t="shared" si="3"/>
        <v>25072.248584836685</v>
      </c>
      <c r="Z5" s="85">
        <f t="shared" si="4"/>
        <v>25072.248584836685</v>
      </c>
      <c r="AA5" s="80">
        <f>IF($AE5&gt;$Z5,$AE5*(1+'Factors &amp; Percentages'!$B$3),IF($Y5&gt;$Z5,$Z5,IF($Y5&gt;$AE5,$Y5,$AE5*(1+'Factors &amp; Percentages'!$B$3))))</f>
        <v>38010</v>
      </c>
      <c r="AB5" s="80">
        <f t="shared" si="5"/>
        <v>35571.200000000004</v>
      </c>
      <c r="AC5" s="85"/>
      <c r="AD5" s="80">
        <f t="shared" si="6"/>
        <v>35571.200000000004</v>
      </c>
      <c r="AE5" s="86">
        <v>36200</v>
      </c>
      <c r="AF5" s="87"/>
      <c r="AG5" s="88"/>
      <c r="AH5" s="88"/>
      <c r="AI5" s="88"/>
      <c r="AJ5" s="5"/>
    </row>
    <row r="6" spans="1:36" x14ac:dyDescent="0.3">
      <c r="A6" s="91" t="s">
        <v>79</v>
      </c>
      <c r="B6" s="76" t="s">
        <v>75</v>
      </c>
      <c r="C6" s="76" t="s">
        <v>75</v>
      </c>
      <c r="D6" s="31"/>
      <c r="E6" s="43">
        <f t="shared" si="0"/>
        <v>16979.700814458738</v>
      </c>
      <c r="F6" s="29"/>
      <c r="G6" s="51">
        <f>17481+6372</f>
        <v>23853</v>
      </c>
      <c r="H6" s="59">
        <v>23658</v>
      </c>
      <c r="I6" s="51">
        <v>25333</v>
      </c>
      <c r="J6" s="59">
        <v>18858</v>
      </c>
      <c r="K6" s="49">
        <v>302</v>
      </c>
      <c r="L6" s="29"/>
      <c r="M6" s="62">
        <f t="shared" si="1"/>
        <v>23688.2</v>
      </c>
      <c r="N6" s="58">
        <f t="shared" si="2"/>
        <v>27218.799999999999</v>
      </c>
      <c r="O6" s="46">
        <f>SUM(M6*'Factors &amp; Percentages'!$E$6+N6*'Factors &amp; Percentages'!$E$7)</f>
        <v>3503.353358306058</v>
      </c>
      <c r="P6" s="65">
        <v>0.33</v>
      </c>
      <c r="Q6" s="46">
        <f>P6*'Factors &amp; Percentages'!$E$10</f>
        <v>3618.6400110856853</v>
      </c>
      <c r="R6" s="69">
        <v>2171</v>
      </c>
      <c r="S6" s="46">
        <f>R6*'Factors &amp; Percentages'!$E$13</f>
        <v>3855.0024152004257</v>
      </c>
      <c r="T6" s="63">
        <v>25</v>
      </c>
      <c r="U6" s="64">
        <v>64</v>
      </c>
      <c r="V6" s="63">
        <v>11486</v>
      </c>
      <c r="W6" s="46">
        <f>T6*'Factors &amp; Percentages'!$E$16+U6*'Factors &amp; Percentages'!$E$17+V6*'Factors &amp; Percentages'!$E$18</f>
        <v>6002.7050298665672</v>
      </c>
      <c r="X6" s="114"/>
      <c r="Y6" s="58">
        <f t="shared" si="3"/>
        <v>16979.700814458738</v>
      </c>
      <c r="Z6" s="71">
        <f t="shared" si="4"/>
        <v>16979.700814458738</v>
      </c>
      <c r="AA6" s="51">
        <f>IF($AE6&gt;$Z6,$AE6*(1+'Factors &amp; Percentages'!$B$3),IF($Y6&gt;$Z6,$Z6,IF($Y6&gt;$AE6,$Y6,$AE6*(1+'Factors &amp; Percentages'!$B$3))))</f>
        <v>16979.700814458738</v>
      </c>
      <c r="AB6" s="59">
        <f t="shared" si="5"/>
        <v>16979.700814458738</v>
      </c>
      <c r="AC6" s="42"/>
      <c r="AD6" s="43">
        <f t="shared" si="6"/>
        <v>16979.700814458738</v>
      </c>
      <c r="AE6" s="75">
        <v>8820</v>
      </c>
      <c r="AF6" s="32"/>
      <c r="AG6" s="33"/>
      <c r="AH6" s="33"/>
      <c r="AI6" s="33"/>
      <c r="AJ6" s="5"/>
    </row>
    <row r="7" spans="1:36" s="89" customFormat="1" x14ac:dyDescent="0.3">
      <c r="A7" s="90" t="s">
        <v>80</v>
      </c>
      <c r="B7" s="78" t="s">
        <v>75</v>
      </c>
      <c r="C7" s="78" t="s">
        <v>75</v>
      </c>
      <c r="D7" s="79"/>
      <c r="E7" s="80">
        <f t="shared" si="0"/>
        <v>11473.837220710626</v>
      </c>
      <c r="F7" s="80"/>
      <c r="G7" s="80">
        <f>18511-1859</f>
        <v>16652</v>
      </c>
      <c r="H7" s="80">
        <v>25625</v>
      </c>
      <c r="I7" s="80">
        <v>15713</v>
      </c>
      <c r="J7" s="80">
        <v>0</v>
      </c>
      <c r="K7" s="80">
        <v>0</v>
      </c>
      <c r="L7" s="80"/>
      <c r="M7" s="81">
        <f t="shared" si="1"/>
        <v>25625</v>
      </c>
      <c r="N7" s="81">
        <f t="shared" si="2"/>
        <v>15713</v>
      </c>
      <c r="O7" s="81">
        <f>SUM(M7*'Factors &amp; Percentages'!$E$6+N7*'Factors &amp; Percentages'!$E$7)</f>
        <v>2985.8160828459936</v>
      </c>
      <c r="P7" s="82">
        <v>0.3</v>
      </c>
      <c r="Q7" s="81">
        <f>P7*'Factors &amp; Percentages'!$E$10</f>
        <v>3289.6727373506228</v>
      </c>
      <c r="R7" s="83">
        <v>1428</v>
      </c>
      <c r="S7" s="81">
        <f>R7*'Factors &amp; Percentages'!$E$13</f>
        <v>2535.6717866910217</v>
      </c>
      <c r="T7" s="84">
        <v>11</v>
      </c>
      <c r="U7" s="84">
        <v>37</v>
      </c>
      <c r="V7" s="84">
        <v>4263</v>
      </c>
      <c r="W7" s="81">
        <f>T7*'Factors &amp; Percentages'!$E$16+U7*'Factors &amp; Percentages'!$E$17+V7*'Factors &amp; Percentages'!$E$18</f>
        <v>2662.6766138229864</v>
      </c>
      <c r="X7" s="113"/>
      <c r="Y7" s="81">
        <f t="shared" si="3"/>
        <v>11473.837220710626</v>
      </c>
      <c r="Z7" s="85">
        <f t="shared" si="4"/>
        <v>11473.837220710626</v>
      </c>
      <c r="AA7" s="80">
        <f>IF($AE7&gt;$Z7,$AE7*(1+'Factors &amp; Percentages'!$B$3),IF($Y7&gt;$Z7,$Z7,IF($Y7&gt;$AE7,$Y7,$AE7*(1+'Factors &amp; Percentages'!$B$3))))</f>
        <v>11473.837220710626</v>
      </c>
      <c r="AB7" s="80">
        <f t="shared" si="5"/>
        <v>11473.837220710626</v>
      </c>
      <c r="AC7" s="85"/>
      <c r="AD7" s="80">
        <f t="shared" si="6"/>
        <v>11473.837220710626</v>
      </c>
      <c r="AE7" s="86">
        <v>8000</v>
      </c>
      <c r="AF7" s="87"/>
      <c r="AG7" s="88"/>
      <c r="AH7" s="88"/>
      <c r="AI7" s="88"/>
      <c r="AJ7" s="5"/>
    </row>
    <row r="8" spans="1:36" x14ac:dyDescent="0.3">
      <c r="A8" s="91" t="s">
        <v>81</v>
      </c>
      <c r="B8" s="76" t="s">
        <v>75</v>
      </c>
      <c r="C8" s="76" t="s">
        <v>75</v>
      </c>
      <c r="D8" s="31"/>
      <c r="E8" s="43">
        <f t="shared" si="0"/>
        <v>25303.07185022402</v>
      </c>
      <c r="F8" s="29"/>
      <c r="G8" s="51">
        <v>39337</v>
      </c>
      <c r="H8" s="59">
        <v>50320</v>
      </c>
      <c r="I8" s="51">
        <v>42905</v>
      </c>
      <c r="J8" s="59">
        <v>6473</v>
      </c>
      <c r="K8" s="49">
        <v>202</v>
      </c>
      <c r="L8" s="29"/>
      <c r="M8" s="62">
        <f t="shared" si="1"/>
        <v>50340.2</v>
      </c>
      <c r="N8" s="58">
        <f t="shared" si="2"/>
        <v>43552.3</v>
      </c>
      <c r="O8" s="46">
        <f>SUM(M8*'Factors &amp; Percentages'!$E$6+N8*'Factors &amp; Percentages'!$E$7)</f>
        <v>6608.2937391636751</v>
      </c>
      <c r="P8" s="65">
        <v>0.7</v>
      </c>
      <c r="Q8" s="46">
        <f>P8*'Factors &amp; Percentages'!$E$10</f>
        <v>7675.9030538181196</v>
      </c>
      <c r="R8" s="69">
        <v>622</v>
      </c>
      <c r="S8" s="46">
        <f>R8*'Factors &amp; Percentages'!$E$13</f>
        <v>1104.4732852393665</v>
      </c>
      <c r="T8" s="63">
        <f>33+18</f>
        <v>51</v>
      </c>
      <c r="U8" s="64">
        <v>110</v>
      </c>
      <c r="V8" s="63">
        <v>12114</v>
      </c>
      <c r="W8" s="46">
        <f>T8*'Factors &amp; Percentages'!$E$16+U8*'Factors &amp; Percentages'!$E$17+V8*'Factors &amp; Percentages'!$E$18</f>
        <v>9914.4017720028587</v>
      </c>
      <c r="X8" s="114"/>
      <c r="Y8" s="58">
        <f t="shared" si="3"/>
        <v>25303.07185022402</v>
      </c>
      <c r="Z8" s="71">
        <f t="shared" si="4"/>
        <v>25303.07185022402</v>
      </c>
      <c r="AA8" s="51">
        <f>IF($AE8&gt;$Z8,$AE8*(1+'Factors &amp; Percentages'!$B$3),IF($Y8&gt;$Z8,$Z8,IF($Y8&gt;$AE8,$Y8,$AE8*(1+'Factors &amp; Percentages'!$B$3))))</f>
        <v>25303.07185022402</v>
      </c>
      <c r="AB8" s="59">
        <f t="shared" si="5"/>
        <v>25303.07185022402</v>
      </c>
      <c r="AC8" s="42"/>
      <c r="AD8" s="43">
        <f t="shared" si="6"/>
        <v>25303.07185022402</v>
      </c>
      <c r="AE8" s="75">
        <v>18000</v>
      </c>
      <c r="AF8" s="32"/>
      <c r="AG8" s="33"/>
      <c r="AH8" s="33"/>
      <c r="AI8" s="33"/>
      <c r="AJ8" s="5"/>
    </row>
    <row r="9" spans="1:36" s="89" customFormat="1" x14ac:dyDescent="0.3">
      <c r="A9" s="90" t="s">
        <v>82</v>
      </c>
      <c r="B9" s="78" t="s">
        <v>75</v>
      </c>
      <c r="C9" s="78" t="s">
        <v>75</v>
      </c>
      <c r="D9" s="79"/>
      <c r="E9" s="80">
        <f t="shared" si="0"/>
        <v>20527.155601360129</v>
      </c>
      <c r="F9" s="80"/>
      <c r="G9" s="80">
        <v>14215</v>
      </c>
      <c r="H9" s="80">
        <v>24152</v>
      </c>
      <c r="I9" s="80">
        <v>31722</v>
      </c>
      <c r="J9" s="80">
        <v>0</v>
      </c>
      <c r="K9" s="80">
        <v>865</v>
      </c>
      <c r="L9" s="80"/>
      <c r="M9" s="81">
        <f t="shared" si="1"/>
        <v>24238.5</v>
      </c>
      <c r="N9" s="81">
        <f t="shared" si="2"/>
        <v>31722</v>
      </c>
      <c r="O9" s="81">
        <f>SUM(M9*'Factors &amp; Percentages'!$E$6+N9*'Factors &amp; Percentages'!$E$7)</f>
        <v>3811.383520974905</v>
      </c>
      <c r="P9" s="82">
        <v>0.25</v>
      </c>
      <c r="Q9" s="81">
        <f>P9*'Factors &amp; Percentages'!$E$10</f>
        <v>2741.3939477921858</v>
      </c>
      <c r="R9" s="83">
        <v>6153</v>
      </c>
      <c r="S9" s="81">
        <f>R9*'Factors &amp; Percentages'!$E$13</f>
        <v>10925.762257359844</v>
      </c>
      <c r="T9" s="84">
        <v>14</v>
      </c>
      <c r="U9" s="84">
        <v>40</v>
      </c>
      <c r="V9" s="84">
        <v>4197</v>
      </c>
      <c r="W9" s="81">
        <f>T9*'Factors &amp; Percentages'!$E$16+U9*'Factors &amp; Percentages'!$E$17+V9*'Factors &amp; Percentages'!$E$18</f>
        <v>3048.615875233193</v>
      </c>
      <c r="X9" s="113"/>
      <c r="Y9" s="81">
        <f t="shared" si="3"/>
        <v>20527.155601360129</v>
      </c>
      <c r="Z9" s="85">
        <f t="shared" si="4"/>
        <v>20527.155601360129</v>
      </c>
      <c r="AA9" s="80">
        <f>IF($AE9&gt;$Z9,$AE9*(1+'Factors &amp; Percentages'!$B$3),IF($Y9&gt;$Z9,$Z9,IF($Y9&gt;$AE9,$Y9,$AE9*(1+'Factors &amp; Percentages'!$B$3))))</f>
        <v>20527.155601360129</v>
      </c>
      <c r="AB9" s="80">
        <f t="shared" si="5"/>
        <v>20527.155601360129</v>
      </c>
      <c r="AC9" s="85"/>
      <c r="AD9" s="80">
        <f t="shared" si="6"/>
        <v>20527.155601360129</v>
      </c>
      <c r="AE9" s="86">
        <v>8000</v>
      </c>
      <c r="AF9" s="87"/>
      <c r="AG9" s="88"/>
      <c r="AH9" s="88"/>
      <c r="AI9" s="88"/>
      <c r="AJ9" s="5"/>
    </row>
    <row r="10" spans="1:36" x14ac:dyDescent="0.3">
      <c r="A10" s="91" t="s">
        <v>83</v>
      </c>
      <c r="B10" s="76" t="s">
        <v>75</v>
      </c>
      <c r="C10" s="76" t="s">
        <v>75</v>
      </c>
      <c r="D10" s="31"/>
      <c r="E10" s="43">
        <f t="shared" si="0"/>
        <v>37549.763551258897</v>
      </c>
      <c r="F10" s="29"/>
      <c r="G10" s="51">
        <f>71669-3821</f>
        <v>67848</v>
      </c>
      <c r="H10" s="59">
        <v>73524</v>
      </c>
      <c r="I10" s="51">
        <v>66698</v>
      </c>
      <c r="J10" s="59">
        <v>21921</v>
      </c>
      <c r="K10" s="49">
        <v>15272</v>
      </c>
      <c r="L10" s="29"/>
      <c r="M10" s="62">
        <f t="shared" si="1"/>
        <v>75051.199999999997</v>
      </c>
      <c r="N10" s="58">
        <f t="shared" si="2"/>
        <v>68890.100000000006</v>
      </c>
      <c r="O10" s="46">
        <f>SUM(M10*'Factors &amp; Percentages'!$E$6+N10*'Factors &amp; Percentages'!$E$7)</f>
        <v>10083.96753746646</v>
      </c>
      <c r="P10" s="65">
        <v>0.5</v>
      </c>
      <c r="Q10" s="46">
        <f>P10*'Factors &amp; Percentages'!$E$10</f>
        <v>5482.7878955843717</v>
      </c>
      <c r="R10" s="69">
        <v>9172</v>
      </c>
      <c r="S10" s="46">
        <f>R10*'Factors &amp; Percentages'!$E$13</f>
        <v>16286.541755973425</v>
      </c>
      <c r="T10" s="63">
        <v>18</v>
      </c>
      <c r="U10" s="64">
        <v>127</v>
      </c>
      <c r="V10" s="63">
        <v>7824</v>
      </c>
      <c r="W10" s="46">
        <f>T10*'Factors &amp; Percentages'!$E$16+U10*'Factors &amp; Percentages'!$E$17+V10*'Factors &amp; Percentages'!$E$18</f>
        <v>5696.4663622346416</v>
      </c>
      <c r="X10" s="114"/>
      <c r="Y10" s="58">
        <f t="shared" si="3"/>
        <v>37549.763551258897</v>
      </c>
      <c r="Z10" s="71">
        <f t="shared" si="4"/>
        <v>37549.763551258897</v>
      </c>
      <c r="AA10" s="51">
        <f>IF($AE10&gt;$Z10,$AE10*(1+'Factors &amp; Percentages'!$B$3),IF($Y10&gt;$Z10,$Z10,IF($Y10&gt;$AE10,$Y10,$AE10*(1+'Factors &amp; Percentages'!$B$3))))</f>
        <v>37549.763551258897</v>
      </c>
      <c r="AB10" s="59">
        <f t="shared" si="5"/>
        <v>37549.763551258897</v>
      </c>
      <c r="AC10" s="42"/>
      <c r="AD10" s="43">
        <f t="shared" si="6"/>
        <v>37549.763551258897</v>
      </c>
      <c r="AE10" s="75">
        <v>30000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84</v>
      </c>
      <c r="B11" s="78" t="s">
        <v>75</v>
      </c>
      <c r="C11" s="78" t="s">
        <v>75</v>
      </c>
      <c r="D11" s="79"/>
      <c r="E11" s="80">
        <f t="shared" si="0"/>
        <v>29219.4</v>
      </c>
      <c r="F11" s="80"/>
      <c r="G11" s="80">
        <f>87307-44494</f>
        <v>42813</v>
      </c>
      <c r="H11" s="80">
        <v>68504</v>
      </c>
      <c r="I11" s="80">
        <v>-17749</v>
      </c>
      <c r="J11" s="80">
        <v>16319</v>
      </c>
      <c r="K11" s="80">
        <v>0</v>
      </c>
      <c r="L11" s="80"/>
      <c r="M11" s="81">
        <f t="shared" si="1"/>
        <v>68504</v>
      </c>
      <c r="N11" s="81">
        <f t="shared" si="2"/>
        <v>-16117.1</v>
      </c>
      <c r="O11" s="81">
        <f>SUM(M11*'Factors &amp; Percentages'!$E$6+N11*'Factors &amp; Percentages'!$E$7)</f>
        <v>4578.8988912938421</v>
      </c>
      <c r="P11" s="82">
        <v>0.5</v>
      </c>
      <c r="Q11" s="81">
        <f>P11*'Factors &amp; Percentages'!$E$10</f>
        <v>5482.7878955843717</v>
      </c>
      <c r="R11" s="83">
        <v>1334</v>
      </c>
      <c r="S11" s="81">
        <f>R11*'Factors &amp; Percentages'!$E$13</f>
        <v>2368.7578175390918</v>
      </c>
      <c r="T11" s="84">
        <v>35</v>
      </c>
      <c r="U11" s="84">
        <v>89</v>
      </c>
      <c r="V11" s="84">
        <v>7511</v>
      </c>
      <c r="W11" s="81">
        <f>T11*'Factors &amp; Percentages'!$E$16+U11*'Factors &amp; Percentages'!$E$17+V11*'Factors &amp; Percentages'!$E$18</f>
        <v>6907.2445741835963</v>
      </c>
      <c r="X11" s="113"/>
      <c r="Y11" s="81">
        <f t="shared" si="3"/>
        <v>19337.6891786009</v>
      </c>
      <c r="Z11" s="85">
        <f t="shared" si="4"/>
        <v>19337.6891786009</v>
      </c>
      <c r="AA11" s="80">
        <f>IF($AE11&gt;$Z11,$AE11*(1+'Factors &amp; Percentages'!$B$3),IF($Y11&gt;$Z11,$Z11,IF($Y11&gt;$AE11,$Y11,$AE11*(1+'Factors &amp; Percentages'!$B$3))))</f>
        <v>29219.4</v>
      </c>
      <c r="AB11" s="80">
        <f t="shared" si="5"/>
        <v>29219.4</v>
      </c>
      <c r="AC11" s="85"/>
      <c r="AD11" s="80">
        <f t="shared" si="6"/>
        <v>29219.4</v>
      </c>
      <c r="AE11" s="86">
        <v>27828</v>
      </c>
      <c r="AF11" s="87"/>
      <c r="AG11" s="88"/>
      <c r="AH11" s="88"/>
      <c r="AI11" s="88"/>
      <c r="AJ11" s="5"/>
    </row>
    <row r="12" spans="1:36" x14ac:dyDescent="0.3">
      <c r="A12" s="91" t="s">
        <v>85</v>
      </c>
      <c r="B12" s="76" t="s">
        <v>75</v>
      </c>
      <c r="C12" s="76" t="s">
        <v>75</v>
      </c>
      <c r="D12" s="31"/>
      <c r="E12" s="43">
        <f t="shared" si="0"/>
        <v>48878.427512417438</v>
      </c>
      <c r="F12" s="29"/>
      <c r="G12" s="51">
        <v>45638</v>
      </c>
      <c r="H12" s="59">
        <v>53135</v>
      </c>
      <c r="I12" s="51">
        <v>239450</v>
      </c>
      <c r="J12" s="59">
        <v>199819</v>
      </c>
      <c r="K12" s="49">
        <v>6281</v>
      </c>
      <c r="L12" s="29"/>
      <c r="M12" s="62">
        <f t="shared" si="1"/>
        <v>53763.1</v>
      </c>
      <c r="N12" s="58">
        <f t="shared" si="2"/>
        <v>259431.9</v>
      </c>
      <c r="O12" s="46">
        <f>SUM(M12*'Factors &amp; Percentages'!$E$6+N12*'Factors &amp; Percentages'!$E$7)</f>
        <v>19524.19823918055</v>
      </c>
      <c r="P12" s="65">
        <v>0.4</v>
      </c>
      <c r="Q12" s="46">
        <f>P12*'Factors &amp; Percentages'!$E$10</f>
        <v>4386.2303164674977</v>
      </c>
      <c r="R12" s="69">
        <v>10886</v>
      </c>
      <c r="S12" s="46">
        <f>R12*'Factors &amp; Percentages'!$E$13</f>
        <v>19330.058172211808</v>
      </c>
      <c r="T12" s="63">
        <v>31</v>
      </c>
      <c r="U12" s="64">
        <v>56</v>
      </c>
      <c r="V12" s="63">
        <v>6247</v>
      </c>
      <c r="W12" s="46">
        <f>T12*'Factors &amp; Percentages'!$E$16+U12*'Factors &amp; Percentages'!$E$17+V12*'Factors &amp; Percentages'!$E$18</f>
        <v>5637.9407845575824</v>
      </c>
      <c r="X12" s="114"/>
      <c r="Y12" s="58">
        <f t="shared" si="3"/>
        <v>48878.427512417438</v>
      </c>
      <c r="Z12" s="71">
        <f t="shared" si="4"/>
        <v>48878.427512417438</v>
      </c>
      <c r="AA12" s="51">
        <f>IF($AE12&gt;$Z12,$AE12*(1+'Factors &amp; Percentages'!$B$3),IF($Y12&gt;$Z12,$Z12,IF($Y12&gt;$AE12,$Y12,$AE12*(1+'Factors &amp; Percentages'!$B$3))))</f>
        <v>48878.427512417438</v>
      </c>
      <c r="AB12" s="59">
        <f t="shared" si="5"/>
        <v>48878.427512417438</v>
      </c>
      <c r="AC12" s="42"/>
      <c r="AD12" s="43">
        <f t="shared" si="6"/>
        <v>48878.427512417438</v>
      </c>
      <c r="AE12" s="75">
        <v>33438</v>
      </c>
      <c r="AF12" s="32"/>
      <c r="AG12" s="33"/>
      <c r="AH12" s="33"/>
      <c r="AI12" s="33"/>
      <c r="AJ12" s="5"/>
    </row>
    <row r="13" spans="1:36" s="89" customFormat="1" x14ac:dyDescent="0.3">
      <c r="A13" s="90" t="s">
        <v>86</v>
      </c>
      <c r="B13" s="78" t="s">
        <v>75</v>
      </c>
      <c r="C13" s="78" t="s">
        <v>75</v>
      </c>
      <c r="D13" s="79"/>
      <c r="E13" s="80">
        <f t="shared" si="0"/>
        <v>126000</v>
      </c>
      <c r="F13" s="80"/>
      <c r="G13" s="80">
        <f>329427-57982</f>
        <v>271445</v>
      </c>
      <c r="H13" s="80">
        <v>281586</v>
      </c>
      <c r="I13" s="80">
        <v>147714</v>
      </c>
      <c r="J13" s="80">
        <v>25613</v>
      </c>
      <c r="K13" s="80">
        <v>316</v>
      </c>
      <c r="L13" s="80"/>
      <c r="M13" s="81">
        <f t="shared" si="1"/>
        <v>281617.59999999998</v>
      </c>
      <c r="N13" s="81">
        <f t="shared" si="2"/>
        <v>150275.29999999999</v>
      </c>
      <c r="O13" s="81">
        <f>SUM(M13*'Factors &amp; Percentages'!$E$6+N13*'Factors &amp; Percentages'!$E$7)</f>
        <v>31501.865284768166</v>
      </c>
      <c r="P13" s="82">
        <v>1</v>
      </c>
      <c r="Q13" s="81">
        <f>P13*'Factors &amp; Percentages'!$E$10</f>
        <v>10965.575791168743</v>
      </c>
      <c r="R13" s="83">
        <v>11466</v>
      </c>
      <c r="S13" s="81">
        <f>R13*'Factors &amp; Percentages'!$E$13</f>
        <v>20359.952875489675</v>
      </c>
      <c r="T13" s="84">
        <v>25</v>
      </c>
      <c r="U13" s="84">
        <v>82</v>
      </c>
      <c r="V13" s="84">
        <v>1360</v>
      </c>
      <c r="W13" s="81">
        <f>T13*'Factors &amp; Percentages'!$E$16+U13*'Factors &amp; Percentages'!$E$17+V13*'Factors &amp; Percentages'!$E$18</f>
        <v>4569.9900367303871</v>
      </c>
      <c r="X13" s="113"/>
      <c r="Y13" s="81">
        <f t="shared" si="3"/>
        <v>67397.383988156973</v>
      </c>
      <c r="Z13" s="85">
        <f t="shared" si="4"/>
        <v>67397.383988156973</v>
      </c>
      <c r="AA13" s="80">
        <f>IF($AE13&gt;$Z13,$AE13*(1+'Factors &amp; Percentages'!$B$3),IF($Y13&gt;$Z13,$Z13,IF($Y13&gt;$AE13,$Y13,$AE13*(1+'Factors &amp; Percentages'!$B$3))))</f>
        <v>126000</v>
      </c>
      <c r="AB13" s="80">
        <f t="shared" si="5"/>
        <v>126000</v>
      </c>
      <c r="AC13" s="85"/>
      <c r="AD13" s="80">
        <f t="shared" si="6"/>
        <v>126000</v>
      </c>
      <c r="AE13" s="86">
        <v>120000</v>
      </c>
      <c r="AF13" s="87"/>
      <c r="AG13" s="88"/>
      <c r="AH13" s="88"/>
      <c r="AI13" s="88"/>
      <c r="AJ13" s="5"/>
    </row>
    <row r="14" spans="1:36" x14ac:dyDescent="0.3">
      <c r="A14" s="91" t="s">
        <v>87</v>
      </c>
      <c r="B14" s="76" t="s">
        <v>75</v>
      </c>
      <c r="C14" s="76" t="s">
        <v>75</v>
      </c>
      <c r="D14" s="31"/>
      <c r="E14" s="43">
        <f t="shared" si="0"/>
        <v>42000</v>
      </c>
      <c r="F14" s="29"/>
      <c r="G14" s="51">
        <f>67211-16435</f>
        <v>50776</v>
      </c>
      <c r="H14" s="59">
        <v>71223</v>
      </c>
      <c r="I14" s="51">
        <v>15653</v>
      </c>
      <c r="J14" s="59">
        <v>8781</v>
      </c>
      <c r="K14" s="49">
        <v>233</v>
      </c>
      <c r="L14" s="29"/>
      <c r="M14" s="62">
        <f t="shared" si="1"/>
        <v>71246.3</v>
      </c>
      <c r="N14" s="58">
        <f t="shared" si="2"/>
        <v>16531.099999999999</v>
      </c>
      <c r="O14" s="46">
        <f>SUM(M14*'Factors &amp; Percentages'!$E$6+N14*'Factors &amp; Percentages'!$E$7)</f>
        <v>6711.5582340499068</v>
      </c>
      <c r="P14" s="65">
        <v>0.25</v>
      </c>
      <c r="Q14" s="46">
        <f>P14*'Factors &amp; Percentages'!$E$10</f>
        <v>2741.3939477921858</v>
      </c>
      <c r="R14" s="69">
        <v>9211</v>
      </c>
      <c r="S14" s="46">
        <f>R14*'Factors &amp; Percentages'!$E$13</f>
        <v>16355.793296366246</v>
      </c>
      <c r="T14" s="63">
        <v>44</v>
      </c>
      <c r="U14" s="64">
        <v>65</v>
      </c>
      <c r="V14" s="63">
        <v>9988</v>
      </c>
      <c r="W14" s="46">
        <f>T14*'Factors &amp; Percentages'!$E$16+U14*'Factors &amp; Percentages'!$E$17+V14*'Factors &amp; Percentages'!$E$18</f>
        <v>7936.786189874827</v>
      </c>
      <c r="X14" s="114"/>
      <c r="Y14" s="58">
        <f t="shared" si="3"/>
        <v>33745.53166808316</v>
      </c>
      <c r="Z14" s="71">
        <f t="shared" si="4"/>
        <v>33745.53166808316</v>
      </c>
      <c r="AA14" s="51">
        <f>IF($AE14&gt;$Z14,$AE14*(1+'Factors &amp; Percentages'!$B$3),IF($Y14&gt;$Z14,$Z14,IF($Y14&gt;$AE14,$Y14,$AE14*(1+'Factors &amp; Percentages'!$B$3))))</f>
        <v>42000</v>
      </c>
      <c r="AB14" s="59">
        <f t="shared" si="5"/>
        <v>42000</v>
      </c>
      <c r="AC14" s="42"/>
      <c r="AD14" s="43">
        <f t="shared" si="6"/>
        <v>42000</v>
      </c>
      <c r="AE14" s="75">
        <v>40000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88</v>
      </c>
      <c r="B15" s="78" t="s">
        <v>75</v>
      </c>
      <c r="C15" s="78" t="s">
        <v>75</v>
      </c>
      <c r="D15" s="79"/>
      <c r="E15" s="80">
        <f t="shared" ref="E15:E18" si="7">+AB15</f>
        <v>10825.161198029236</v>
      </c>
      <c r="F15" s="80"/>
      <c r="G15" s="80">
        <v>5549</v>
      </c>
      <c r="H15" s="80">
        <v>7402</v>
      </c>
      <c r="I15" s="80">
        <v>18279</v>
      </c>
      <c r="J15" s="80">
        <v>13100</v>
      </c>
      <c r="K15" s="80">
        <v>0</v>
      </c>
      <c r="L15" s="80"/>
      <c r="M15" s="81">
        <f t="shared" ref="M15:M18" si="8">H15+K15*0.1</f>
        <v>7402</v>
      </c>
      <c r="N15" s="81">
        <f t="shared" ref="N15:N18" si="9">I15+0.1*J15</f>
        <v>19589</v>
      </c>
      <c r="O15" s="81">
        <f>SUM(M15*'Factors &amp; Percentages'!$E$6+N15*'Factors &amp; Percentages'!$E$7)</f>
        <v>1743.68036847186</v>
      </c>
      <c r="P15" s="82">
        <v>0.16500000000000001</v>
      </c>
      <c r="Q15" s="81">
        <f>P15*'Factors &amp; Percentages'!$E$10</f>
        <v>1809.3200055428426</v>
      </c>
      <c r="R15" s="83">
        <v>3245</v>
      </c>
      <c r="S15" s="81">
        <f>R15*'Factors &amp; Percentages'!$E$13</f>
        <v>5762.0832967873703</v>
      </c>
      <c r="T15" s="84">
        <v>8</v>
      </c>
      <c r="U15" s="84">
        <v>24</v>
      </c>
      <c r="V15" s="84">
        <v>942</v>
      </c>
      <c r="W15" s="81">
        <f>T15*'Factors &amp; Percentages'!$E$16+U15*'Factors &amp; Percentages'!$E$17+V15*'Factors &amp; Percentages'!$E$18</f>
        <v>1510.0775272271637</v>
      </c>
      <c r="X15" s="113"/>
      <c r="Y15" s="81">
        <f t="shared" ref="Y15:Y18" si="10">O15+Q15+S15+W15</f>
        <v>10825.161198029236</v>
      </c>
      <c r="Z15" s="85">
        <f t="shared" ref="Z15:Z18" si="11">IF($I15&gt;($H15+$G15)/2,$Y15,MIN(Y15,$H15*0.65))</f>
        <v>10825.161198029236</v>
      </c>
      <c r="AA15" s="80">
        <f>IF($AE15&gt;$Z15,$AE15*(1+'Factors &amp; Percentages'!$B$3),IF($Y15&gt;$Z15,$Z15,IF($Y15&gt;$AE15,$Y15,$AE15*(1+'Factors &amp; Percentages'!$B$3))))</f>
        <v>10825.161198029236</v>
      </c>
      <c r="AB15" s="80">
        <f t="shared" ref="AB15:AB18" si="12">MIN(AA15,+P15*2*88928)</f>
        <v>10825.161198029236</v>
      </c>
      <c r="AC15" s="85"/>
      <c r="AD15" s="80">
        <f t="shared" ref="AD15:AD18" si="13">AB15</f>
        <v>10825.161198029236</v>
      </c>
      <c r="AE15" s="86">
        <v>2100</v>
      </c>
      <c r="AF15" s="87"/>
      <c r="AG15" s="88"/>
      <c r="AH15" s="88"/>
      <c r="AI15" s="88"/>
      <c r="AJ15" s="5"/>
    </row>
    <row r="16" spans="1:36" x14ac:dyDescent="0.3">
      <c r="A16" s="91" t="s">
        <v>219</v>
      </c>
      <c r="B16" s="76" t="s">
        <v>75</v>
      </c>
      <c r="C16" s="76" t="s">
        <v>75</v>
      </c>
      <c r="D16" s="31"/>
      <c r="E16" s="43">
        <f t="shared" si="7"/>
        <v>15750</v>
      </c>
      <c r="F16" s="29"/>
      <c r="G16" s="51">
        <f>28693-2292</f>
        <v>26401</v>
      </c>
      <c r="H16" s="59">
        <v>28812</v>
      </c>
      <c r="I16" s="51">
        <v>36403</v>
      </c>
      <c r="J16" s="59">
        <v>937</v>
      </c>
      <c r="K16" s="49">
        <v>919</v>
      </c>
      <c r="L16" s="29"/>
      <c r="M16" s="62">
        <f t="shared" si="8"/>
        <v>28903.9</v>
      </c>
      <c r="N16" s="58">
        <f t="shared" si="9"/>
        <v>36496.699999999997</v>
      </c>
      <c r="O16" s="46">
        <f>SUM(M16*'Factors &amp; Percentages'!$E$6+N16*'Factors &amp; Percentages'!$E$7)</f>
        <v>4467.0563212626002</v>
      </c>
      <c r="P16" s="65">
        <v>0.25</v>
      </c>
      <c r="Q16" s="46">
        <f>P16*'Factors &amp; Percentages'!$E$10</f>
        <v>2741.3939477921858</v>
      </c>
      <c r="R16" s="69">
        <v>926</v>
      </c>
      <c r="S16" s="46">
        <f>R16*'Factors &amp; Percentages'!$E$13</f>
        <v>1644.2801641987996</v>
      </c>
      <c r="T16" s="63">
        <v>23</v>
      </c>
      <c r="U16" s="64">
        <v>39</v>
      </c>
      <c r="V16" s="63">
        <v>1415</v>
      </c>
      <c r="W16" s="46">
        <f>T16*'Factors &amp; Percentages'!$E$16+U16*'Factors &amp; Percentages'!$E$17+V16*'Factors &amp; Percentages'!$E$18</f>
        <v>3578.9993746238661</v>
      </c>
      <c r="X16" s="114"/>
      <c r="Y16" s="58">
        <f t="shared" si="10"/>
        <v>12431.729807877451</v>
      </c>
      <c r="Z16" s="71">
        <f t="shared" si="11"/>
        <v>12431.729807877451</v>
      </c>
      <c r="AA16" s="51">
        <f>IF($AE16&gt;$Z16,$AE16*(1+'Factors &amp; Percentages'!$B$3),IF($Y16&gt;$Z16,$Z16,IF($Y16&gt;$AE16,$Y16,$AE16*(1+'Factors &amp; Percentages'!$B$3))))</f>
        <v>15750</v>
      </c>
      <c r="AB16" s="59">
        <f t="shared" si="12"/>
        <v>15750</v>
      </c>
      <c r="AC16" s="42"/>
      <c r="AD16" s="43">
        <f t="shared" si="13"/>
        <v>15750</v>
      </c>
      <c r="AE16" s="75">
        <v>15000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89</v>
      </c>
      <c r="B17" s="78" t="s">
        <v>75</v>
      </c>
      <c r="C17" s="78" t="s">
        <v>75</v>
      </c>
      <c r="D17" s="79"/>
      <c r="E17" s="80">
        <f t="shared" si="7"/>
        <v>11112.4</v>
      </c>
      <c r="F17" s="80"/>
      <c r="G17" s="80">
        <v>20356</v>
      </c>
      <c r="H17" s="80">
        <v>17096</v>
      </c>
      <c r="I17" s="80">
        <v>15334</v>
      </c>
      <c r="J17" s="80">
        <v>10667</v>
      </c>
      <c r="K17" s="80">
        <v>2500</v>
      </c>
      <c r="L17" s="80"/>
      <c r="M17" s="81">
        <f t="shared" si="8"/>
        <v>17346</v>
      </c>
      <c r="N17" s="81">
        <f t="shared" si="9"/>
        <v>16400.7</v>
      </c>
      <c r="O17" s="81">
        <f>SUM(M17*'Factors &amp; Percentages'!$E$6+N17*'Factors &amp; Percentages'!$E$7)</f>
        <v>2358.6553962257822</v>
      </c>
      <c r="P17" s="82">
        <v>0.33</v>
      </c>
      <c r="Q17" s="81">
        <f>P17*'Factors &amp; Percentages'!$E$10</f>
        <v>3618.6400110856853</v>
      </c>
      <c r="R17" s="83">
        <v>2086</v>
      </c>
      <c r="S17" s="81">
        <f>R17*'Factors &amp; Percentages'!$E$13</f>
        <v>3704.0695707545315</v>
      </c>
      <c r="T17" s="84">
        <v>17</v>
      </c>
      <c r="U17" s="84">
        <v>28</v>
      </c>
      <c r="V17" s="84">
        <v>1502</v>
      </c>
      <c r="W17" s="81">
        <f>T17*'Factors &amp; Percentages'!$E$16+U17*'Factors &amp; Percentages'!$E$17+V17*'Factors &amp; Percentages'!$E$18</f>
        <v>2709.6107440174123</v>
      </c>
      <c r="X17" s="113"/>
      <c r="Y17" s="81">
        <f t="shared" si="10"/>
        <v>12390.975722083411</v>
      </c>
      <c r="Z17" s="85">
        <f t="shared" si="11"/>
        <v>11112.4</v>
      </c>
      <c r="AA17" s="80">
        <f>IF($AE17&gt;$Z17,$AE17*(1+'Factors &amp; Percentages'!$B$3),IF($Y17&gt;$Z17,$Z17,IF($Y17&gt;$AE17,$Y17,$AE17*(1+'Factors &amp; Percentages'!$B$3))))</f>
        <v>11112.4</v>
      </c>
      <c r="AB17" s="80">
        <f t="shared" si="12"/>
        <v>11112.4</v>
      </c>
      <c r="AC17" s="85"/>
      <c r="AD17" s="80">
        <f t="shared" si="13"/>
        <v>11112.4</v>
      </c>
      <c r="AE17" s="86">
        <v>9000</v>
      </c>
      <c r="AF17" s="87"/>
      <c r="AG17" s="88"/>
      <c r="AH17" s="88"/>
      <c r="AI17" s="88"/>
      <c r="AJ17" s="5"/>
    </row>
    <row r="18" spans="1:36" x14ac:dyDescent="0.3">
      <c r="A18" s="91" t="s">
        <v>90</v>
      </c>
      <c r="B18" s="76" t="s">
        <v>75</v>
      </c>
      <c r="C18" s="76" t="s">
        <v>75</v>
      </c>
      <c r="D18" s="31"/>
      <c r="E18" s="43">
        <f t="shared" si="7"/>
        <v>12767.108126130555</v>
      </c>
      <c r="F18" s="29"/>
      <c r="G18" s="51">
        <v>12151</v>
      </c>
      <c r="H18" s="59">
        <v>15574</v>
      </c>
      <c r="I18" s="51">
        <v>19995</v>
      </c>
      <c r="J18" s="59">
        <v>4955</v>
      </c>
      <c r="K18" s="49">
        <v>0</v>
      </c>
      <c r="L18" s="29"/>
      <c r="M18" s="62">
        <f t="shared" si="8"/>
        <v>15574</v>
      </c>
      <c r="N18" s="58">
        <f t="shared" si="9"/>
        <v>20490.5</v>
      </c>
      <c r="O18" s="46">
        <f>SUM(M18*'Factors &amp; Percentages'!$E$6+N18*'Factors &amp; Percentages'!$E$7)</f>
        <v>2455.2642730762182</v>
      </c>
      <c r="P18" s="65">
        <v>0.16500000000000001</v>
      </c>
      <c r="Q18" s="46">
        <f>P18*'Factors &amp; Percentages'!$E$10</f>
        <v>1809.3200055428426</v>
      </c>
      <c r="R18" s="69">
        <v>2895</v>
      </c>
      <c r="S18" s="46">
        <f>R18*'Factors &amp; Percentages'!$E$13</f>
        <v>5140.5951137748652</v>
      </c>
      <c r="T18" s="63">
        <v>17</v>
      </c>
      <c r="U18" s="64">
        <v>37</v>
      </c>
      <c r="V18" s="63">
        <v>4333</v>
      </c>
      <c r="W18" s="46">
        <f>T18*'Factors &amp; Percentages'!$E$16+U18*'Factors &amp; Percentages'!$E$17+V18*'Factors &amp; Percentages'!$E$18</f>
        <v>3361.9287337366291</v>
      </c>
      <c r="X18" s="114"/>
      <c r="Y18" s="58">
        <f t="shared" si="10"/>
        <v>12767.108126130555</v>
      </c>
      <c r="Z18" s="71">
        <f t="shared" si="11"/>
        <v>12767.108126130555</v>
      </c>
      <c r="AA18" s="51">
        <f>IF($AE18&gt;$Z18,$AE18*(1+'Factors &amp; Percentages'!$B$3),IF($Y18&gt;$Z18,$Z18,IF($Y18&gt;$AE18,$Y18,$AE18*(1+'Factors &amp; Percentages'!$B$3))))</f>
        <v>12767.108126130555</v>
      </c>
      <c r="AB18" s="59">
        <f t="shared" si="12"/>
        <v>12767.108126130555</v>
      </c>
      <c r="AC18" s="42"/>
      <c r="AD18" s="43">
        <f t="shared" si="13"/>
        <v>12767.108126130555</v>
      </c>
      <c r="AE18" s="75">
        <v>9000</v>
      </c>
      <c r="AF18" s="32"/>
      <c r="AG18" s="33"/>
      <c r="AH18" s="33"/>
      <c r="AI18" s="33"/>
      <c r="AJ18" s="5"/>
    </row>
    <row r="19" spans="1:36" s="89" customFormat="1" x14ac:dyDescent="0.3">
      <c r="A19" s="90" t="s">
        <v>91</v>
      </c>
      <c r="B19" s="78" t="s">
        <v>75</v>
      </c>
      <c r="C19" s="78" t="s">
        <v>75</v>
      </c>
      <c r="D19" s="79"/>
      <c r="E19" s="80">
        <f t="shared" ref="E19" si="14">+AB19</f>
        <v>63525</v>
      </c>
      <c r="F19" s="80"/>
      <c r="G19" s="80">
        <v>90222</v>
      </c>
      <c r="H19" s="80">
        <v>109455</v>
      </c>
      <c r="I19" s="80">
        <v>89209</v>
      </c>
      <c r="J19" s="80">
        <v>22021</v>
      </c>
      <c r="K19" s="80">
        <v>20494</v>
      </c>
      <c r="L19" s="80"/>
      <c r="M19" s="81">
        <f t="shared" ref="M19:M25" si="15">H19+K19*0.1</f>
        <v>111504.4</v>
      </c>
      <c r="N19" s="81">
        <f t="shared" ref="N19:N25" si="16">I19+0.1*J19</f>
        <v>91411.1</v>
      </c>
      <c r="O19" s="81">
        <f>SUM(M19*'Factors &amp; Percentages'!$E$6+N19*'Factors &amp; Percentages'!$E$7)</f>
        <v>14341.33311716418</v>
      </c>
      <c r="P19" s="82">
        <v>0.4</v>
      </c>
      <c r="Q19" s="81">
        <f>P19*'Factors &amp; Percentages'!$E$10</f>
        <v>4386.2303164674977</v>
      </c>
      <c r="R19" s="83">
        <v>12282</v>
      </c>
      <c r="S19" s="81">
        <f>R19*'Factors &amp; Percentages'!$E$13</f>
        <v>21808.908182170257</v>
      </c>
      <c r="T19" s="84">
        <v>56</v>
      </c>
      <c r="U19" s="84">
        <v>110</v>
      </c>
      <c r="V19" s="84">
        <v>3988</v>
      </c>
      <c r="W19" s="81">
        <f>T19*'Factors &amp; Percentages'!$E$16+U19*'Factors &amp; Percentages'!$E$17+V19*'Factors &amp; Percentages'!$E$18</f>
        <v>9078.097886000136</v>
      </c>
      <c r="X19" s="113"/>
      <c r="Y19" s="81">
        <f t="shared" ref="Y19:Y25" si="17">O19+Q19+S19+W19</f>
        <v>49614.569501802071</v>
      </c>
      <c r="Z19" s="85">
        <f t="shared" ref="Z19:Z25" si="18">IF($I19&gt;($H19+$G19)/2,$Y19,MIN(Y19,$H19*0.65))</f>
        <v>49614.569501802071</v>
      </c>
      <c r="AA19" s="80">
        <f>IF($AE19&gt;$Z19,$AE19*(1+'Factors &amp; Percentages'!$B$3),IF($Y19&gt;$Z19,$Z19,IF($Y19&gt;$AE19,$Y19,$AE19*(1+'Factors &amp; Percentages'!$B$3))))</f>
        <v>63525</v>
      </c>
      <c r="AB19" s="80">
        <f t="shared" ref="AB19:AB25" si="19">MIN(AA19,+P19*2*88928)</f>
        <v>63525</v>
      </c>
      <c r="AC19" s="85"/>
      <c r="AD19" s="80">
        <f t="shared" ref="AD19:AD26" si="20">AB19</f>
        <v>63525</v>
      </c>
      <c r="AE19" s="86">
        <v>60500</v>
      </c>
      <c r="AF19" s="87"/>
      <c r="AG19" s="88"/>
      <c r="AH19" s="88"/>
      <c r="AI19" s="88"/>
      <c r="AJ19" s="5"/>
    </row>
    <row r="20" spans="1:36" x14ac:dyDescent="0.3">
      <c r="A20" s="91" t="s">
        <v>231</v>
      </c>
      <c r="B20" s="76" t="s">
        <v>75</v>
      </c>
      <c r="C20" s="76" t="s">
        <v>75</v>
      </c>
      <c r="D20" s="31"/>
      <c r="E20" s="43">
        <f>Y20-14000</f>
        <v>23976.175987032446</v>
      </c>
      <c r="F20" s="29"/>
      <c r="G20" s="51">
        <v>43221</v>
      </c>
      <c r="H20" s="59">
        <v>49156</v>
      </c>
      <c r="I20" s="51">
        <v>25897</v>
      </c>
      <c r="J20" s="59">
        <v>20023</v>
      </c>
      <c r="K20" s="49">
        <v>14338</v>
      </c>
      <c r="L20" s="29"/>
      <c r="M20" s="62">
        <f t="shared" si="15"/>
        <v>50589.8</v>
      </c>
      <c r="N20" s="58">
        <f t="shared" si="16"/>
        <v>27899.3</v>
      </c>
      <c r="O20" s="46">
        <f>SUM(M20*'Factors &amp; Percentages'!$E$6+N20*'Factors &amp; Percentages'!$E$7)</f>
        <v>5711.9172491158515</v>
      </c>
      <c r="P20" s="65">
        <v>0.5</v>
      </c>
      <c r="Q20" s="46">
        <f>P20*'Factors &amp; Percentages'!$E$10</f>
        <v>5482.7878955843717</v>
      </c>
      <c r="R20" s="69">
        <v>10642</v>
      </c>
      <c r="S20" s="46">
        <f>R20*'Factors &amp; Percentages'!$E$13</f>
        <v>18896.792124625947</v>
      </c>
      <c r="T20" s="63">
        <v>45</v>
      </c>
      <c r="U20" s="64">
        <v>67</v>
      </c>
      <c r="V20" s="63">
        <v>8820</v>
      </c>
      <c r="W20" s="46">
        <f>T20*'Factors &amp; Percentages'!$E$16+U20*'Factors &amp; Percentages'!$E$17+V20*'Factors &amp; Percentages'!$E$18</f>
        <v>7884.6787177062797</v>
      </c>
      <c r="X20" s="114"/>
      <c r="Y20" s="58">
        <f t="shared" si="17"/>
        <v>37976.175987032446</v>
      </c>
      <c r="Z20" s="71">
        <f t="shared" si="18"/>
        <v>31951.4</v>
      </c>
      <c r="AA20" s="51">
        <f>IF($AE20&gt;$Z20,$AE20*(1+'Factors &amp; Percentages'!$B$3),IF($Y20&gt;$Z20,$Z20,IF($Y20&gt;$AE20,$Y20,$AE20*(1+'Factors &amp; Percentages'!$B$3))))</f>
        <v>31951.4</v>
      </c>
      <c r="AB20" s="59">
        <f t="shared" si="19"/>
        <v>31951.4</v>
      </c>
      <c r="AC20" s="42"/>
      <c r="AD20" s="43">
        <f t="shared" si="20"/>
        <v>31951.4</v>
      </c>
      <c r="AE20" s="75">
        <v>22841</v>
      </c>
      <c r="AF20" s="32"/>
      <c r="AG20" s="33"/>
      <c r="AH20" s="33"/>
      <c r="AI20" s="33"/>
      <c r="AJ20" s="5"/>
    </row>
    <row r="21" spans="1:36" s="89" customFormat="1" x14ac:dyDescent="0.3">
      <c r="A21" s="90" t="s">
        <v>92</v>
      </c>
      <c r="B21" s="78" t="s">
        <v>75</v>
      </c>
      <c r="C21" s="78" t="s">
        <v>75</v>
      </c>
      <c r="D21" s="79"/>
      <c r="E21" s="80">
        <f t="shared" ref="E21:E26" si="21">+AB21</f>
        <v>27286.508907074898</v>
      </c>
      <c r="F21" s="80"/>
      <c r="G21" s="80">
        <f>28136-1202</f>
        <v>26934</v>
      </c>
      <c r="H21" s="80">
        <v>28376</v>
      </c>
      <c r="I21" s="80">
        <v>38977</v>
      </c>
      <c r="J21" s="80">
        <v>20333</v>
      </c>
      <c r="K21" s="80">
        <v>2173</v>
      </c>
      <c r="L21" s="80"/>
      <c r="M21" s="81">
        <f t="shared" si="15"/>
        <v>28593.3</v>
      </c>
      <c r="N21" s="81">
        <f t="shared" si="16"/>
        <v>41010.300000000003</v>
      </c>
      <c r="O21" s="81">
        <f>SUM(M21*'Factors &amp; Percentages'!$E$6+N21*'Factors &amp; Percentages'!$E$7)</f>
        <v>4706.2924415458683</v>
      </c>
      <c r="P21" s="82">
        <v>0.5</v>
      </c>
      <c r="Q21" s="81">
        <f>P21*'Factors &amp; Percentages'!$E$10</f>
        <v>5482.7878955843717</v>
      </c>
      <c r="R21" s="83">
        <v>8085</v>
      </c>
      <c r="S21" s="81">
        <f>R21*'Factors &amp; Percentages'!$E$13</f>
        <v>14356.377027588873</v>
      </c>
      <c r="T21" s="84">
        <v>16</v>
      </c>
      <c r="U21" s="84">
        <v>36</v>
      </c>
      <c r="V21" s="84">
        <v>1516</v>
      </c>
      <c r="W21" s="81">
        <f>T21*'Factors &amp; Percentages'!$E$16+U21*'Factors &amp; Percentages'!$E$17+V21*'Factors &amp; Percentages'!$E$18</f>
        <v>2741.0515423557845</v>
      </c>
      <c r="X21" s="113"/>
      <c r="Y21" s="81">
        <f t="shared" si="17"/>
        <v>27286.508907074898</v>
      </c>
      <c r="Z21" s="85">
        <f t="shared" si="18"/>
        <v>27286.508907074898</v>
      </c>
      <c r="AA21" s="80">
        <f>IF($AE21&gt;$Z21,$AE21*(1+'Factors &amp; Percentages'!$B$3),IF($Y21&gt;$Z21,$Z21,IF($Y21&gt;$AE21,$Y21,$AE21*(1+'Factors &amp; Percentages'!$B$3))))</f>
        <v>27286.508907074898</v>
      </c>
      <c r="AB21" s="80">
        <f t="shared" si="19"/>
        <v>27286.508907074898</v>
      </c>
      <c r="AC21" s="85"/>
      <c r="AD21" s="80">
        <f t="shared" si="20"/>
        <v>27286.508907074898</v>
      </c>
      <c r="AE21" s="86">
        <v>15000</v>
      </c>
      <c r="AF21" s="87"/>
      <c r="AG21" s="88"/>
      <c r="AH21" s="88"/>
      <c r="AI21" s="88"/>
      <c r="AJ21" s="5"/>
    </row>
    <row r="22" spans="1:36" x14ac:dyDescent="0.3">
      <c r="A22" s="91" t="s">
        <v>93</v>
      </c>
      <c r="B22" s="76" t="s">
        <v>75</v>
      </c>
      <c r="C22" s="76" t="s">
        <v>75</v>
      </c>
      <c r="D22" s="31"/>
      <c r="E22" s="43">
        <f t="shared" si="21"/>
        <v>14598.578163917824</v>
      </c>
      <c r="F22" s="29"/>
      <c r="G22" s="51">
        <f>15409-2000-500</f>
        <v>12909</v>
      </c>
      <c r="H22" s="59">
        <v>14960</v>
      </c>
      <c r="I22" s="51">
        <v>26189</v>
      </c>
      <c r="J22" s="59">
        <v>1366</v>
      </c>
      <c r="K22" s="49">
        <v>0</v>
      </c>
      <c r="L22" s="29"/>
      <c r="M22" s="62">
        <f t="shared" si="15"/>
        <v>14960</v>
      </c>
      <c r="N22" s="58">
        <f t="shared" si="16"/>
        <v>26325.599999999999</v>
      </c>
      <c r="O22" s="46">
        <f>SUM(M22*'Factors &amp; Percentages'!$E$6+N22*'Factors &amp; Percentages'!$E$7)</f>
        <v>2747.4163824025791</v>
      </c>
      <c r="P22" s="65">
        <v>0.25</v>
      </c>
      <c r="Q22" s="46">
        <f>P22*'Factors &amp; Percentages'!$E$10</f>
        <v>2741.3939477921858</v>
      </c>
      <c r="R22" s="69">
        <v>2506</v>
      </c>
      <c r="S22" s="46">
        <f>R22*'Factors &amp; Percentages'!$E$13</f>
        <v>4449.8553903695383</v>
      </c>
      <c r="T22" s="63">
        <v>25</v>
      </c>
      <c r="U22" s="64">
        <v>75</v>
      </c>
      <c r="V22" s="63">
        <f>5206/2</f>
        <v>2603</v>
      </c>
      <c r="W22" s="46">
        <f>T22*'Factors &amp; Percentages'!$E$16+U22*'Factors &amp; Percentages'!$E$17+V22*'Factors &amp; Percentages'!$E$18</f>
        <v>4659.9124433535217</v>
      </c>
      <c r="X22" s="114"/>
      <c r="Y22" s="58">
        <f t="shared" si="17"/>
        <v>14598.578163917824</v>
      </c>
      <c r="Z22" s="71">
        <f t="shared" si="18"/>
        <v>14598.578163917824</v>
      </c>
      <c r="AA22" s="51">
        <f>IF($AE22&gt;$Z22,$AE22*(1+'Factors &amp; Percentages'!$B$3),IF($Y22&gt;$Z22,$Z22,IF($Y22&gt;$AE22,$Y22,$AE22*(1+'Factors &amp; Percentages'!$B$3))))</f>
        <v>14598.578163917824</v>
      </c>
      <c r="AB22" s="59">
        <f t="shared" si="19"/>
        <v>14598.578163917824</v>
      </c>
      <c r="AC22" s="42"/>
      <c r="AD22" s="43">
        <f t="shared" si="20"/>
        <v>14598.578163917824</v>
      </c>
      <c r="AE22" s="75">
        <v>3600</v>
      </c>
      <c r="AF22" s="32"/>
      <c r="AG22" s="33"/>
      <c r="AH22" s="33"/>
      <c r="AI22" s="33"/>
      <c r="AJ22" s="5"/>
    </row>
    <row r="23" spans="1:36" s="89" customFormat="1" x14ac:dyDescent="0.3">
      <c r="A23" s="90" t="s">
        <v>94</v>
      </c>
      <c r="B23" s="78" t="s">
        <v>75</v>
      </c>
      <c r="C23" s="78" t="s">
        <v>75</v>
      </c>
      <c r="D23" s="79"/>
      <c r="E23" s="80">
        <f t="shared" si="21"/>
        <v>14794.404713373488</v>
      </c>
      <c r="F23" s="80"/>
      <c r="G23" s="80">
        <f>23531-1000-500</f>
        <v>22031</v>
      </c>
      <c r="H23" s="80">
        <v>31103</v>
      </c>
      <c r="I23" s="80">
        <v>34576</v>
      </c>
      <c r="J23" s="80">
        <v>19188</v>
      </c>
      <c r="K23" s="80">
        <v>49</v>
      </c>
      <c r="L23" s="80"/>
      <c r="M23" s="81">
        <f t="shared" si="15"/>
        <v>31107.9</v>
      </c>
      <c r="N23" s="81">
        <f t="shared" si="16"/>
        <v>36494.800000000003</v>
      </c>
      <c r="O23" s="81">
        <f>SUM(M23*'Factors &amp; Percentages'!$E$6+N23*'Factors &amp; Percentages'!$E$7)</f>
        <v>4644.6244233209673</v>
      </c>
      <c r="P23" s="82">
        <v>0.25</v>
      </c>
      <c r="Q23" s="81">
        <f>P23*'Factors &amp; Percentages'!$E$10</f>
        <v>2741.3939477921858</v>
      </c>
      <c r="R23" s="83">
        <v>2506</v>
      </c>
      <c r="S23" s="81">
        <f>R23*'Factors &amp; Percentages'!$E$13</f>
        <v>4449.8553903695383</v>
      </c>
      <c r="T23" s="84">
        <v>15</v>
      </c>
      <c r="U23" s="84">
        <v>44</v>
      </c>
      <c r="V23" s="84">
        <f>5206/2</f>
        <v>2603</v>
      </c>
      <c r="W23" s="81">
        <f>T23*'Factors &amp; Percentages'!$E$16+U23*'Factors &amp; Percentages'!$E$17+V23*'Factors &amp; Percentages'!$E$18</f>
        <v>2958.5309518907966</v>
      </c>
      <c r="X23" s="113"/>
      <c r="Y23" s="81">
        <f t="shared" si="17"/>
        <v>14794.404713373488</v>
      </c>
      <c r="Z23" s="85">
        <f t="shared" si="18"/>
        <v>14794.404713373488</v>
      </c>
      <c r="AA23" s="80">
        <f>IF($AE23&gt;$Z23,$AE23*(1+'Factors &amp; Percentages'!$B$3),IF($Y23&gt;$Z23,$Z23,IF($Y23&gt;$AE23,$Y23,$AE23*(1+'Factors &amp; Percentages'!$B$3))))</f>
        <v>14794.404713373488</v>
      </c>
      <c r="AB23" s="80">
        <f t="shared" si="19"/>
        <v>14794.404713373488</v>
      </c>
      <c r="AC23" s="85"/>
      <c r="AD23" s="80">
        <f t="shared" si="20"/>
        <v>14794.404713373488</v>
      </c>
      <c r="AE23" s="86">
        <v>7500</v>
      </c>
      <c r="AF23" s="87"/>
      <c r="AG23" s="88"/>
      <c r="AH23" s="88"/>
      <c r="AI23" s="88"/>
      <c r="AJ23" s="5"/>
    </row>
    <row r="24" spans="1:36" x14ac:dyDescent="0.3">
      <c r="A24" s="91" t="s">
        <v>95</v>
      </c>
      <c r="B24" s="76" t="s">
        <v>75</v>
      </c>
      <c r="C24" s="76" t="s">
        <v>75</v>
      </c>
      <c r="D24" s="31"/>
      <c r="E24" s="43">
        <f t="shared" si="21"/>
        <v>31948.800000000003</v>
      </c>
      <c r="F24" s="29"/>
      <c r="G24" s="51">
        <f>73780-30020</f>
        <v>43760</v>
      </c>
      <c r="H24" s="59">
        <v>49152</v>
      </c>
      <c r="I24" s="51">
        <v>46174</v>
      </c>
      <c r="J24" s="59">
        <v>4745</v>
      </c>
      <c r="K24" s="49">
        <v>1540</v>
      </c>
      <c r="L24" s="29"/>
      <c r="M24" s="62">
        <f t="shared" si="15"/>
        <v>49306</v>
      </c>
      <c r="N24" s="58">
        <f t="shared" si="16"/>
        <v>46648.5</v>
      </c>
      <c r="O24" s="46">
        <f>SUM(M24*'Factors &amp; Percentages'!$E$6+N24*'Factors &amp; Percentages'!$E$7)</f>
        <v>6706.2054146409164</v>
      </c>
      <c r="P24" s="65">
        <v>0.25</v>
      </c>
      <c r="Q24" s="46">
        <f>P24*'Factors &amp; Percentages'!$E$10</f>
        <v>2741.3939477921858</v>
      </c>
      <c r="R24" s="69">
        <v>11941</v>
      </c>
      <c r="S24" s="46">
        <f>R24*'Factors &amp; Percentages'!$E$13</f>
        <v>21203.401123863787</v>
      </c>
      <c r="T24" s="63">
        <v>30</v>
      </c>
      <c r="U24" s="64">
        <v>92</v>
      </c>
      <c r="V24" s="63">
        <v>1916</v>
      </c>
      <c r="W24" s="46">
        <f>T24*'Factors &amp; Percentages'!$E$16+U24*'Factors &amp; Percentages'!$E$17+V24*'Factors &amp; Percentages'!$E$18</f>
        <v>5418.4023098240077</v>
      </c>
      <c r="X24" s="114"/>
      <c r="Y24" s="58">
        <f t="shared" si="17"/>
        <v>36069.402796120899</v>
      </c>
      <c r="Z24" s="71">
        <f t="shared" si="18"/>
        <v>31948.800000000003</v>
      </c>
      <c r="AA24" s="51">
        <f>IF($AE24&gt;$Z24,$AE24*(1+'Factors &amp; Percentages'!$B$3),IF($Y24&gt;$Z24,$Z24,IF($Y24&gt;$AE24,$Y24,$AE24*(1+'Factors &amp; Percentages'!$B$3))))</f>
        <v>31948.800000000003</v>
      </c>
      <c r="AB24" s="59">
        <f t="shared" si="19"/>
        <v>31948.800000000003</v>
      </c>
      <c r="AC24" s="42"/>
      <c r="AD24" s="43">
        <f t="shared" si="20"/>
        <v>31948.800000000003</v>
      </c>
      <c r="AE24" s="75">
        <v>30000</v>
      </c>
      <c r="AF24" s="32"/>
      <c r="AG24" s="33"/>
      <c r="AH24" s="33"/>
      <c r="AI24" s="33"/>
      <c r="AJ24" s="5"/>
    </row>
    <row r="25" spans="1:36" s="89" customFormat="1" x14ac:dyDescent="0.3">
      <c r="A25" s="90" t="s">
        <v>96</v>
      </c>
      <c r="B25" s="78" t="s">
        <v>75</v>
      </c>
      <c r="C25" s="78" t="s">
        <v>75</v>
      </c>
      <c r="D25" s="79"/>
      <c r="E25" s="80">
        <f t="shared" si="21"/>
        <v>14553</v>
      </c>
      <c r="F25" s="80"/>
      <c r="G25" s="80">
        <v>15620</v>
      </c>
      <c r="H25" s="80">
        <v>21308</v>
      </c>
      <c r="I25" s="80">
        <v>11958</v>
      </c>
      <c r="J25" s="80">
        <v>694</v>
      </c>
      <c r="K25" s="80">
        <v>145</v>
      </c>
      <c r="L25" s="80"/>
      <c r="M25" s="81">
        <f t="shared" si="15"/>
        <v>21322.5</v>
      </c>
      <c r="N25" s="81">
        <f t="shared" si="16"/>
        <v>12027.4</v>
      </c>
      <c r="O25" s="81">
        <f>SUM(M25*'Factors &amp; Percentages'!$E$6+N25*'Factors &amp; Percentages'!$E$7)</f>
        <v>2423.1669748460099</v>
      </c>
      <c r="P25" s="82">
        <v>0.33</v>
      </c>
      <c r="Q25" s="81">
        <f>P25*'Factors &amp; Percentages'!$E$10</f>
        <v>3618.6400110856853</v>
      </c>
      <c r="R25" s="83">
        <v>1371</v>
      </c>
      <c r="S25" s="81">
        <f>R25*'Factors &amp; Percentages'!$E$13</f>
        <v>2434.4579968861281</v>
      </c>
      <c r="T25" s="84">
        <v>11</v>
      </c>
      <c r="U25" s="84">
        <v>31</v>
      </c>
      <c r="V25" s="84">
        <v>4616</v>
      </c>
      <c r="W25" s="81">
        <f>T25*'Factors &amp; Percentages'!$E$16+U25*'Factors &amp; Percentages'!$E$17+V25*'Factors &amp; Percentages'!$E$18</f>
        <v>2616.230854243981</v>
      </c>
      <c r="X25" s="113"/>
      <c r="Y25" s="81">
        <f t="shared" si="17"/>
        <v>11092.495837061802</v>
      </c>
      <c r="Z25" s="85">
        <f t="shared" si="18"/>
        <v>11092.495837061802</v>
      </c>
      <c r="AA25" s="80">
        <f>IF($AE25&gt;$Z25,$AE25*(1+'Factors &amp; Percentages'!$B$3),IF($Y25&gt;$Z25,$Z25,IF($Y25&gt;$AE25,$Y25,$AE25*(1+'Factors &amp; Percentages'!$B$3))))</f>
        <v>14553</v>
      </c>
      <c r="AB25" s="80">
        <f t="shared" si="19"/>
        <v>14553</v>
      </c>
      <c r="AC25" s="85"/>
      <c r="AD25" s="80">
        <f t="shared" si="20"/>
        <v>14553</v>
      </c>
      <c r="AE25" s="86">
        <v>13860</v>
      </c>
      <c r="AF25" s="87"/>
      <c r="AG25" s="88"/>
      <c r="AH25" s="88"/>
      <c r="AI25" s="88"/>
      <c r="AJ25" s="5"/>
    </row>
    <row r="26" spans="1:36" x14ac:dyDescent="0.3">
      <c r="A26" s="91" t="s">
        <v>97</v>
      </c>
      <c r="B26" s="76" t="s">
        <v>75</v>
      </c>
      <c r="C26" s="76" t="s">
        <v>75</v>
      </c>
      <c r="D26" s="31"/>
      <c r="E26" s="43">
        <f t="shared" si="21"/>
        <v>11680.274087399204</v>
      </c>
      <c r="F26" s="29"/>
      <c r="G26" s="51">
        <v>9160</v>
      </c>
      <c r="H26" s="59">
        <v>12110</v>
      </c>
      <c r="I26" s="51">
        <v>17380</v>
      </c>
      <c r="J26" s="59">
        <v>9000</v>
      </c>
      <c r="K26" s="49">
        <v>0</v>
      </c>
      <c r="L26" s="29"/>
      <c r="M26" s="62">
        <f t="shared" ref="M26:M27" si="22">H26+K26*0.1</f>
        <v>12110</v>
      </c>
      <c r="N26" s="58">
        <f t="shared" ref="N26:N27" si="23">I26+0.1*J26</f>
        <v>18280</v>
      </c>
      <c r="O26" s="46">
        <f>SUM(M26*'Factors &amp; Percentages'!$E$6+N26*'Factors &amp; Percentages'!$E$7)</f>
        <v>2046.5808674624955</v>
      </c>
      <c r="P26" s="65">
        <v>0.33</v>
      </c>
      <c r="Q26" s="46">
        <f>P26*'Factors &amp; Percentages'!$E$10</f>
        <v>3618.6400110856853</v>
      </c>
      <c r="R26" s="69">
        <v>1856</v>
      </c>
      <c r="S26" s="46">
        <f>R26*'Factors &amp; Percentages'!$E$13</f>
        <v>3295.6630504891709</v>
      </c>
      <c r="T26" s="63">
        <v>12</v>
      </c>
      <c r="U26" s="64">
        <v>32</v>
      </c>
      <c r="V26" s="63">
        <v>4447</v>
      </c>
      <c r="W26" s="46">
        <f>T26*'Factors &amp; Percentages'!$E$16+U26*'Factors &amp; Percentages'!$E$17+V26*'Factors &amp; Percentages'!$E$18</f>
        <v>2719.3901583618544</v>
      </c>
      <c r="X26" s="114"/>
      <c r="Y26" s="58">
        <f t="shared" ref="Y26:Y27" si="24">O26+Q26+S26+W26</f>
        <v>11680.274087399204</v>
      </c>
      <c r="Z26" s="71">
        <f t="shared" ref="Z26:Z27" si="25">IF($I26&gt;($H26+$G26)/2,$Y26,MIN(Y26,$H26*0.65))</f>
        <v>11680.274087399204</v>
      </c>
      <c r="AA26" s="51">
        <f>IF($AE26&gt;$Z26,$AE26*(1+'Factors &amp; Percentages'!$B$3),IF($Y26&gt;$Z26,$Z26,IF($Y26&gt;$AE26,$Y26,$AE26*(1+'Factors &amp; Percentages'!$B$3))))</f>
        <v>11680.274087399204</v>
      </c>
      <c r="AB26" s="59">
        <f t="shared" ref="AB26:AB27" si="26">MIN(AA26,+P26*2*88928)</f>
        <v>11680.274087399204</v>
      </c>
      <c r="AC26" s="42"/>
      <c r="AD26" s="43">
        <f t="shared" si="20"/>
        <v>11680.274087399204</v>
      </c>
      <c r="AE26" s="75">
        <v>7000</v>
      </c>
      <c r="AF26" s="32"/>
      <c r="AG26" s="33"/>
      <c r="AH26" s="33"/>
      <c r="AI26" s="33"/>
      <c r="AJ26" s="5"/>
    </row>
    <row r="27" spans="1:36" s="89" customFormat="1" x14ac:dyDescent="0.3">
      <c r="A27" s="90" t="s">
        <v>98</v>
      </c>
      <c r="B27" s="78" t="s">
        <v>75</v>
      </c>
      <c r="C27" s="78" t="s">
        <v>75</v>
      </c>
      <c r="D27" s="79"/>
      <c r="E27" s="80">
        <f t="shared" ref="E27" si="27">+AB27</f>
        <v>22851.15</v>
      </c>
      <c r="F27" s="80"/>
      <c r="G27" s="80">
        <v>33482</v>
      </c>
      <c r="H27" s="80">
        <v>38900</v>
      </c>
      <c r="I27" s="80">
        <v>26243</v>
      </c>
      <c r="J27" s="80">
        <v>2309</v>
      </c>
      <c r="K27" s="80">
        <v>82</v>
      </c>
      <c r="L27" s="80"/>
      <c r="M27" s="81">
        <f t="shared" si="22"/>
        <v>38908.199999999997</v>
      </c>
      <c r="N27" s="81">
        <f t="shared" si="23"/>
        <v>26473.9</v>
      </c>
      <c r="O27" s="81">
        <f>SUM(M27*'Factors &amp; Percentages'!$E$6+N27*'Factors &amp; Percentages'!$E$7)</f>
        <v>4686.7258913277719</v>
      </c>
      <c r="P27" s="82">
        <v>0.33</v>
      </c>
      <c r="Q27" s="81">
        <f>P27*'Factors &amp; Percentages'!$E$10</f>
        <v>3618.6400110856853</v>
      </c>
      <c r="R27" s="83">
        <v>2569</v>
      </c>
      <c r="S27" s="81">
        <f>R27*'Factors &amp; Percentages'!$E$13</f>
        <v>4561.7232633117892</v>
      </c>
      <c r="T27" s="84">
        <v>22</v>
      </c>
      <c r="U27" s="84">
        <v>65</v>
      </c>
      <c r="V27" s="84">
        <v>8580</v>
      </c>
      <c r="W27" s="81">
        <f>T27*'Factors &amp; Percentages'!$E$16+U27*'Factors &amp; Percentages'!$E$17+V27*'Factors &amp; Percentages'!$E$18</f>
        <v>5173.2415690565867</v>
      </c>
      <c r="X27" s="113"/>
      <c r="Y27" s="81">
        <f t="shared" si="24"/>
        <v>18040.330734781834</v>
      </c>
      <c r="Z27" s="85">
        <f t="shared" si="25"/>
        <v>18040.330734781834</v>
      </c>
      <c r="AA27" s="80">
        <f>IF($AE27&gt;$Z27,$AE27*(1+'Factors &amp; Percentages'!$B$3),IF($Y27&gt;$Z27,$Z27,IF($Y27&gt;$AE27,$Y27,$AE27*(1+'Factors &amp; Percentages'!$B$3))))</f>
        <v>22851.15</v>
      </c>
      <c r="AB27" s="80">
        <f t="shared" si="26"/>
        <v>22851.15</v>
      </c>
      <c r="AC27" s="85"/>
      <c r="AD27" s="80">
        <f t="shared" ref="AD27" si="28">AB27</f>
        <v>22851.15</v>
      </c>
      <c r="AE27" s="86">
        <v>21763</v>
      </c>
      <c r="AF27" s="87"/>
      <c r="AG27" s="88"/>
      <c r="AH27" s="88"/>
      <c r="AI27" s="88"/>
      <c r="AJ27" s="5"/>
    </row>
    <row r="28" spans="1:36" s="89" customFormat="1" x14ac:dyDescent="0.3">
      <c r="A28" s="90"/>
      <c r="B28" s="78"/>
      <c r="C28" s="78"/>
      <c r="D28" s="79"/>
      <c r="E28" s="80"/>
      <c r="F28" s="80"/>
      <c r="G28" s="80"/>
      <c r="H28" s="80"/>
      <c r="I28" s="80"/>
      <c r="J28" s="80"/>
      <c r="K28" s="80"/>
      <c r="L28" s="80"/>
      <c r="M28" s="81"/>
      <c r="N28" s="81"/>
      <c r="O28" s="81"/>
      <c r="P28" s="82"/>
      <c r="Q28" s="81"/>
      <c r="R28" s="83"/>
      <c r="S28" s="81"/>
      <c r="T28" s="84"/>
      <c r="U28" s="84"/>
      <c r="V28" s="84"/>
      <c r="W28" s="81"/>
      <c r="X28" s="113"/>
      <c r="Y28" s="81"/>
      <c r="Z28" s="85"/>
      <c r="AA28" s="80"/>
      <c r="AB28" s="80"/>
      <c r="AC28" s="85"/>
      <c r="AD28" s="80"/>
      <c r="AE28" s="86"/>
      <c r="AF28" s="87"/>
      <c r="AG28" s="88"/>
      <c r="AH28" s="88"/>
      <c r="AI28" s="88"/>
      <c r="AJ28" s="5"/>
    </row>
    <row r="29" spans="1:36" ht="15" thickBot="1" x14ac:dyDescent="0.35">
      <c r="E29" s="44">
        <f>SUM(E3:E27)</f>
        <v>746226.83132793044</v>
      </c>
      <c r="F29" s="41"/>
      <c r="G29" s="52">
        <f>SUM(G3:G28)</f>
        <v>1067360</v>
      </c>
      <c r="H29" s="60">
        <f>SUM(H3:H28)</f>
        <v>1226203</v>
      </c>
      <c r="I29" s="52">
        <f>SUM(I3:I28)</f>
        <v>1177656</v>
      </c>
      <c r="J29" s="60">
        <f>SUM(J3:J28)</f>
        <v>442767</v>
      </c>
      <c r="K29" s="50">
        <f>SUM(K3:K28)</f>
        <v>76022</v>
      </c>
      <c r="L29" s="41"/>
      <c r="M29" s="60">
        <f t="shared" ref="M29:W29" si="29">SUM(M3:M28)</f>
        <v>1233805.2</v>
      </c>
      <c r="N29" s="52">
        <f t="shared" si="29"/>
        <v>1221932.7</v>
      </c>
      <c r="O29" s="47">
        <f t="shared" si="29"/>
        <v>171010.73597066029</v>
      </c>
      <c r="P29" s="67">
        <f t="shared" si="29"/>
        <v>9.1800000000000015</v>
      </c>
      <c r="Q29" s="47">
        <f t="shared" si="29"/>
        <v>100663.98576292908</v>
      </c>
      <c r="R29" s="67">
        <f t="shared" si="29"/>
        <v>131732</v>
      </c>
      <c r="S29" s="47">
        <f t="shared" si="29"/>
        <v>233913.94664172386</v>
      </c>
      <c r="T29" s="67">
        <f t="shared" si="29"/>
        <v>662</v>
      </c>
      <c r="U29" s="68">
        <f t="shared" si="29"/>
        <v>1613</v>
      </c>
      <c r="V29" s="67">
        <f t="shared" si="29"/>
        <v>122928</v>
      </c>
      <c r="W29" s="47">
        <f t="shared" si="29"/>
        <v>126064.98123738071</v>
      </c>
      <c r="X29" s="115"/>
      <c r="Y29" s="52">
        <f>SUM(Y3:Y28)</f>
        <v>631653.64961269393</v>
      </c>
      <c r="Z29" s="60">
        <f>SUM(Z3:Z28)</f>
        <v>619986.3846420988</v>
      </c>
      <c r="AA29" s="56">
        <f>SUM(AA3:AA27)</f>
        <v>756640.85534089804</v>
      </c>
      <c r="AB29" s="74">
        <f>SUM(AB3:AB27)</f>
        <v>754202.05534089799</v>
      </c>
      <c r="AC29" s="29"/>
      <c r="AD29" s="44">
        <f>SUM(AD3:AD27)</f>
        <v>754202.05534089799</v>
      </c>
      <c r="AE29" s="56">
        <f>SUM(AE3:AE27)</f>
        <v>611951</v>
      </c>
      <c r="AF29" s="36"/>
      <c r="AG29" s="37"/>
      <c r="AH29" s="37"/>
      <c r="AI29" s="37"/>
      <c r="AJ29" s="6"/>
    </row>
    <row r="30" spans="1:36" ht="15" hidden="1" thickTop="1" x14ac:dyDescent="0.3"/>
  </sheetData>
  <sheetProtection algorithmName="SHA-512" hashValue="K7E8tU+VWA/UR6OUDaNEKmEtG8ZYnYKfvKCs5S5KP9fizVjvHGNuRUKGbcBg1vM5QXr6sRbXyhe6PnkroR3rng==" saltValue="q+zHTWKA1bLF+AsAkKnniQ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2227-4E10-47D8-AABB-DE9AE99373F7}">
  <dimension ref="A1:AV22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18" sqref="A18:XFD18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60</v>
      </c>
      <c r="B3" s="78" t="s">
        <v>8</v>
      </c>
      <c r="C3" s="78" t="s">
        <v>59</v>
      </c>
      <c r="D3" s="79"/>
      <c r="E3" s="80">
        <f t="shared" ref="E3:E13" si="0">+AB3</f>
        <v>63000</v>
      </c>
      <c r="F3" s="80"/>
      <c r="G3" s="80">
        <f>133302-35000</f>
        <v>98302</v>
      </c>
      <c r="H3" s="80">
        <v>122932</v>
      </c>
      <c r="I3" s="80">
        <v>81920</v>
      </c>
      <c r="J3" s="80">
        <v>54720</v>
      </c>
      <c r="K3" s="80">
        <v>55473</v>
      </c>
      <c r="L3" s="80"/>
      <c r="M3" s="81">
        <f t="shared" ref="M3:M13" si="1">H3+K3*0.1</f>
        <v>128479.3</v>
      </c>
      <c r="N3" s="81">
        <f t="shared" ref="N3:N13" si="2">I3+0.1*J3</f>
        <v>87392</v>
      </c>
      <c r="O3" s="81">
        <f>SUM(M3*'Factors &amp; Percentages'!$E$6+N3*'Factors &amp; Percentages'!$E$7)</f>
        <v>15474.472403060172</v>
      </c>
      <c r="P3" s="82">
        <v>0.9</v>
      </c>
      <c r="Q3" s="81">
        <f>P3*'Factors &amp; Percentages'!$E$10</f>
        <v>9869.0182120518693</v>
      </c>
      <c r="R3" s="83">
        <v>10466</v>
      </c>
      <c r="S3" s="81">
        <f>R3*'Factors &amp; Percentages'!$E$13</f>
        <v>18584.272352596799</v>
      </c>
      <c r="T3" s="84">
        <f>55+40</f>
        <v>95</v>
      </c>
      <c r="U3" s="84">
        <v>193</v>
      </c>
      <c r="V3" s="84">
        <v>7217</v>
      </c>
      <c r="W3" s="81">
        <f>T3*'Factors &amp; Percentages'!$E$16+U3*'Factors &amp; Percentages'!$E$17+V3*'Factors &amp; Percentages'!$E$18</f>
        <v>15593.349249557154</v>
      </c>
      <c r="X3" s="113"/>
      <c r="Y3" s="81">
        <f t="shared" ref="Y3:Y13" si="3">O3+Q3+S3+W3</f>
        <v>59521.112217265996</v>
      </c>
      <c r="Z3" s="85">
        <f t="shared" ref="Z3:Z13" si="4">IF($I3&gt;($H3+$G3)/2,$Y3,MIN(Y3,$H3*0.65))</f>
        <v>59521.112217265996</v>
      </c>
      <c r="AA3" s="80">
        <f>IF($AE3&gt;$Z3,$AE3*(1+'Factors &amp; Percentages'!$B$3),IF($Y3&gt;$Z3,$Z3,IF($Y3&gt;$AE3,$Y3,$AE3*(1+'Factors &amp; Percentages'!$B$3))))</f>
        <v>63000</v>
      </c>
      <c r="AB3" s="80">
        <f t="shared" ref="AB3:AB13" si="5">MIN(AA3,+P3*2*88928)</f>
        <v>63000</v>
      </c>
      <c r="AC3" s="85"/>
      <c r="AD3" s="80">
        <f t="shared" ref="AD3:AD13" si="6">AB3</f>
        <v>63000</v>
      </c>
      <c r="AE3" s="86">
        <v>60000</v>
      </c>
      <c r="AF3" s="87"/>
      <c r="AG3" s="88"/>
      <c r="AH3" s="88"/>
      <c r="AI3" s="88"/>
      <c r="AJ3" s="5"/>
    </row>
    <row r="4" spans="1:36" x14ac:dyDescent="0.3">
      <c r="A4" s="91" t="s">
        <v>61</v>
      </c>
      <c r="B4" s="76" t="s">
        <v>8</v>
      </c>
      <c r="C4" s="76" t="s">
        <v>59</v>
      </c>
      <c r="D4" s="31"/>
      <c r="E4" s="43">
        <f t="shared" si="0"/>
        <v>31292.662656262368</v>
      </c>
      <c r="F4" s="29"/>
      <c r="G4" s="51">
        <v>40855</v>
      </c>
      <c r="H4" s="59">
        <v>48286</v>
      </c>
      <c r="I4" s="51">
        <v>3565</v>
      </c>
      <c r="J4" s="59">
        <v>12179</v>
      </c>
      <c r="K4" s="49">
        <v>2785</v>
      </c>
      <c r="L4" s="29"/>
      <c r="M4" s="62">
        <f t="shared" si="1"/>
        <v>48564.5</v>
      </c>
      <c r="N4" s="58">
        <f t="shared" si="2"/>
        <v>4782.8999999999996</v>
      </c>
      <c r="O4" s="46">
        <f>SUM(M4*'Factors &amp; Percentages'!$E$6+N4*'Factors &amp; Percentages'!$E$7)</f>
        <v>4195.1563238728586</v>
      </c>
      <c r="P4" s="65">
        <v>1</v>
      </c>
      <c r="Q4" s="46">
        <f>P4*'Factors &amp; Percentages'!$E$10</f>
        <v>10965.575791168743</v>
      </c>
      <c r="R4" s="69">
        <v>3630</v>
      </c>
      <c r="S4" s="46">
        <f>R4*'Factors &amp; Percentages'!$E$13</f>
        <v>6445.720298101126</v>
      </c>
      <c r="T4" s="63">
        <v>46</v>
      </c>
      <c r="U4" s="64">
        <v>90</v>
      </c>
      <c r="V4" s="63">
        <v>16170</v>
      </c>
      <c r="W4" s="46">
        <f>T4*'Factors &amp; Percentages'!$E$16+U4*'Factors &amp; Percentages'!$E$17+V4*'Factors &amp; Percentages'!$E$18</f>
        <v>9686.2102431196399</v>
      </c>
      <c r="X4" s="114"/>
      <c r="Y4" s="58">
        <f t="shared" si="3"/>
        <v>31292.662656262368</v>
      </c>
      <c r="Z4" s="71">
        <f t="shared" si="4"/>
        <v>31292.662656262368</v>
      </c>
      <c r="AA4" s="51">
        <f>IF($AE4&gt;$Z4,$AE4*(1+'Factors &amp; Percentages'!$B$3),IF($Y4&gt;$Z4,$Z4,IF($Y4&gt;$AE4,$Y4,$AE4*(1+'Factors &amp; Percentages'!$B$3))))</f>
        <v>31292.662656262368</v>
      </c>
      <c r="AB4" s="59">
        <f t="shared" si="5"/>
        <v>31292.662656262368</v>
      </c>
      <c r="AC4" s="42"/>
      <c r="AD4" s="43">
        <f t="shared" si="6"/>
        <v>31292.662656262368</v>
      </c>
      <c r="AE4" s="75">
        <v>25500</v>
      </c>
      <c r="AF4" s="32"/>
      <c r="AG4" s="33"/>
      <c r="AH4" s="33"/>
      <c r="AI4" s="33"/>
      <c r="AJ4" s="5"/>
    </row>
    <row r="5" spans="1:36" s="89" customFormat="1" x14ac:dyDescent="0.3">
      <c r="A5" s="90" t="s">
        <v>220</v>
      </c>
      <c r="B5" s="78" t="s">
        <v>8</v>
      </c>
      <c r="C5" s="78" t="s">
        <v>59</v>
      </c>
      <c r="D5" s="79"/>
      <c r="E5" s="80">
        <f t="shared" si="0"/>
        <v>17785.600000000002</v>
      </c>
      <c r="F5" s="80"/>
      <c r="G5" s="80">
        <v>19136</v>
      </c>
      <c r="H5" s="80">
        <v>29769</v>
      </c>
      <c r="I5" s="80">
        <v>117801</v>
      </c>
      <c r="J5" s="80">
        <v>665</v>
      </c>
      <c r="K5" s="80">
        <v>0</v>
      </c>
      <c r="L5" s="80"/>
      <c r="M5" s="81">
        <f t="shared" si="1"/>
        <v>29769</v>
      </c>
      <c r="N5" s="81">
        <f t="shared" si="2"/>
        <v>117867.5</v>
      </c>
      <c r="O5" s="81">
        <f>SUM(M5*'Factors &amp; Percentages'!$E$6+N5*'Factors &amp; Percentages'!$E$7)</f>
        <v>9301.1376792004321</v>
      </c>
      <c r="P5" s="82">
        <v>0.1</v>
      </c>
      <c r="Q5" s="81">
        <f>P5*'Factors &amp; Percentages'!$E$10</f>
        <v>1096.5575791168744</v>
      </c>
      <c r="R5" s="83">
        <v>6643</v>
      </c>
      <c r="S5" s="81">
        <f>R5*'Factors &amp; Percentages'!$E$13</f>
        <v>11795.84571357735</v>
      </c>
      <c r="T5" s="84">
        <v>10</v>
      </c>
      <c r="U5" s="84">
        <v>63</v>
      </c>
      <c r="V5" s="84">
        <v>1126</v>
      </c>
      <c r="W5" s="81">
        <f>T5*'Factors &amp; Percentages'!$E$16+U5*'Factors &amp; Percentages'!$E$17+V5*'Factors &amp; Percentages'!$E$18</f>
        <v>2470.7400826752873</v>
      </c>
      <c r="X5" s="113"/>
      <c r="Y5" s="81">
        <f t="shared" si="3"/>
        <v>24664.281054569939</v>
      </c>
      <c r="Z5" s="85">
        <f t="shared" si="4"/>
        <v>24664.281054569939</v>
      </c>
      <c r="AA5" s="80">
        <f>IF($AE5&gt;$Z5,$AE5*(1+'Factors &amp; Percentages'!$B$3),IF($Y5&gt;$Z5,$Z5,IF($Y5&gt;$AE5,$Y5,$AE5*(1+'Factors &amp; Percentages'!$B$3))))</f>
        <v>24664.281054569939</v>
      </c>
      <c r="AB5" s="80">
        <f t="shared" si="5"/>
        <v>17785.600000000002</v>
      </c>
      <c r="AC5" s="85"/>
      <c r="AD5" s="80">
        <f t="shared" si="6"/>
        <v>17785.600000000002</v>
      </c>
      <c r="AE5" s="86">
        <v>12000</v>
      </c>
      <c r="AF5" s="87"/>
      <c r="AG5" s="88"/>
      <c r="AH5" s="88"/>
      <c r="AI5" s="88"/>
      <c r="AJ5" s="5"/>
    </row>
    <row r="6" spans="1:36" x14ac:dyDescent="0.3">
      <c r="A6" s="91" t="s">
        <v>62</v>
      </c>
      <c r="B6" s="76" t="s">
        <v>8</v>
      </c>
      <c r="C6" s="76" t="s">
        <v>59</v>
      </c>
      <c r="D6" s="31"/>
      <c r="E6" s="43">
        <f t="shared" si="0"/>
        <v>35443.869487555043</v>
      </c>
      <c r="F6" s="29"/>
      <c r="G6" s="51">
        <f>46276-1000</f>
        <v>45276</v>
      </c>
      <c r="H6" s="59">
        <v>65017</v>
      </c>
      <c r="I6" s="51">
        <v>98153</v>
      </c>
      <c r="J6" s="59">
        <v>10229</v>
      </c>
      <c r="K6" s="49">
        <v>10789</v>
      </c>
      <c r="L6" s="29"/>
      <c r="M6" s="62">
        <f t="shared" si="1"/>
        <v>66095.899999999994</v>
      </c>
      <c r="N6" s="58">
        <f t="shared" si="2"/>
        <v>99175.9</v>
      </c>
      <c r="O6" s="46">
        <f>SUM(M6*'Factors &amp; Percentages'!$E$6+N6*'Factors &amp; Percentages'!$E$7)</f>
        <v>11135.283389263721</v>
      </c>
      <c r="P6" s="65">
        <v>0.5</v>
      </c>
      <c r="Q6" s="46">
        <f>P6*'Factors &amp; Percentages'!$E$10</f>
        <v>5482.7878955843717</v>
      </c>
      <c r="R6" s="69">
        <v>4504</v>
      </c>
      <c r="S6" s="46">
        <f>R6*'Factors &amp; Percentages'!$E$13</f>
        <v>7997.6650751094967</v>
      </c>
      <c r="T6" s="63">
        <v>69</v>
      </c>
      <c r="U6" s="64">
        <v>85</v>
      </c>
      <c r="V6" s="63">
        <v>8082</v>
      </c>
      <c r="W6" s="46">
        <f>T6*'Factors &amp; Percentages'!$E$16+U6*'Factors &amp; Percentages'!$E$17+V6*'Factors &amp; Percentages'!$E$18</f>
        <v>10828.133127597457</v>
      </c>
      <c r="X6" s="114"/>
      <c r="Y6" s="58">
        <f t="shared" si="3"/>
        <v>35443.869487555043</v>
      </c>
      <c r="Z6" s="71">
        <f t="shared" si="4"/>
        <v>35443.869487555043</v>
      </c>
      <c r="AA6" s="51">
        <f>IF($AE6&gt;$Z6,$AE6*(1+'Factors &amp; Percentages'!$B$3),IF($Y6&gt;$Z6,$Z6,IF($Y6&gt;$AE6,$Y6,$AE6*(1+'Factors &amp; Percentages'!$B$3))))</f>
        <v>35443.869487555043</v>
      </c>
      <c r="AB6" s="59">
        <f t="shared" si="5"/>
        <v>35443.869487555043</v>
      </c>
      <c r="AC6" s="42"/>
      <c r="AD6" s="43">
        <f t="shared" si="6"/>
        <v>35443.869487555043</v>
      </c>
      <c r="AE6" s="75">
        <v>33600</v>
      </c>
      <c r="AF6" s="32"/>
      <c r="AG6" s="33"/>
      <c r="AH6" s="33"/>
      <c r="AI6" s="33"/>
      <c r="AJ6" s="5"/>
    </row>
    <row r="7" spans="1:36" s="89" customFormat="1" x14ac:dyDescent="0.3">
      <c r="A7" s="90" t="s">
        <v>63</v>
      </c>
      <c r="B7" s="78" t="s">
        <v>8</v>
      </c>
      <c r="C7" s="78" t="s">
        <v>59</v>
      </c>
      <c r="D7" s="79"/>
      <c r="E7" s="80">
        <f t="shared" si="0"/>
        <v>33075</v>
      </c>
      <c r="F7" s="80"/>
      <c r="G7" s="80">
        <f>72902-1000</f>
        <v>71902</v>
      </c>
      <c r="H7" s="80">
        <v>97588</v>
      </c>
      <c r="I7" s="80">
        <v>63874</v>
      </c>
      <c r="J7" s="80">
        <v>273461</v>
      </c>
      <c r="K7" s="80">
        <v>53351</v>
      </c>
      <c r="L7" s="80"/>
      <c r="M7" s="81">
        <f t="shared" si="1"/>
        <v>102923.1</v>
      </c>
      <c r="N7" s="81">
        <f t="shared" si="2"/>
        <v>91220.1</v>
      </c>
      <c r="O7" s="81">
        <f>SUM(M7*'Factors &amp; Percentages'!$E$6+N7*'Factors &amp; Percentages'!$E$7)</f>
        <v>13638.353239630032</v>
      </c>
      <c r="P7" s="82">
        <v>0.5</v>
      </c>
      <c r="Q7" s="81">
        <f>P7*'Factors &amp; Percentages'!$E$10</f>
        <v>5482.7878955843717</v>
      </c>
      <c r="R7" s="83">
        <v>738</v>
      </c>
      <c r="S7" s="81">
        <f>R7*'Factors &amp; Percentages'!$E$13</f>
        <v>1310.4522258949398</v>
      </c>
      <c r="T7" s="84">
        <v>62</v>
      </c>
      <c r="U7" s="84">
        <v>94</v>
      </c>
      <c r="V7" s="84">
        <v>446</v>
      </c>
      <c r="W7" s="81">
        <f>T7*'Factors &amp; Percentages'!$E$16+U7*'Factors &amp; Percentages'!$E$17+V7*'Factors &amp; Percentages'!$E$18</f>
        <v>8864.0297731792962</v>
      </c>
      <c r="X7" s="113"/>
      <c r="Y7" s="81">
        <f t="shared" si="3"/>
        <v>29295.623134288642</v>
      </c>
      <c r="Z7" s="85">
        <f t="shared" si="4"/>
        <v>29295.623134288642</v>
      </c>
      <c r="AA7" s="80">
        <f>IF($AE7&gt;$Z7,$AE7*(1+'Factors &amp; Percentages'!$B$3),IF($Y7&gt;$Z7,$Z7,IF($Y7&gt;$AE7,$Y7,$AE7*(1+'Factors &amp; Percentages'!$B$3))))</f>
        <v>33075</v>
      </c>
      <c r="AB7" s="80">
        <f t="shared" si="5"/>
        <v>33075</v>
      </c>
      <c r="AC7" s="85"/>
      <c r="AD7" s="80">
        <f t="shared" si="6"/>
        <v>33075</v>
      </c>
      <c r="AE7" s="86">
        <v>31500</v>
      </c>
      <c r="AF7" s="87"/>
      <c r="AG7" s="88"/>
      <c r="AH7" s="88"/>
      <c r="AI7" s="88"/>
      <c r="AJ7" s="5"/>
    </row>
    <row r="8" spans="1:36" x14ac:dyDescent="0.3">
      <c r="A8" s="91" t="s">
        <v>240</v>
      </c>
      <c r="B8" s="76" t="s">
        <v>8</v>
      </c>
      <c r="C8" s="76" t="s">
        <v>59</v>
      </c>
      <c r="D8" s="31"/>
      <c r="E8" s="43">
        <f t="shared" si="0"/>
        <v>14299.95</v>
      </c>
      <c r="F8" s="29"/>
      <c r="G8" s="51">
        <v>20952</v>
      </c>
      <c r="H8" s="59">
        <v>28505</v>
      </c>
      <c r="I8" s="51">
        <v>10076</v>
      </c>
      <c r="J8" s="59">
        <v>0</v>
      </c>
      <c r="K8" s="49">
        <v>0</v>
      </c>
      <c r="L8" s="29"/>
      <c r="M8" s="62">
        <f t="shared" si="1"/>
        <v>28505</v>
      </c>
      <c r="N8" s="58">
        <f t="shared" si="2"/>
        <v>10076</v>
      </c>
      <c r="O8" s="46">
        <f>SUM(M8*'Factors &amp; Percentages'!$E$6+N8*'Factors &amp; Percentages'!$E$7)</f>
        <v>2887.9405102669016</v>
      </c>
      <c r="P8" s="65">
        <v>0.2</v>
      </c>
      <c r="Q8" s="46">
        <f>P8*'Factors &amp; Percentages'!$E$10</f>
        <v>2193.1151582337488</v>
      </c>
      <c r="R8" s="69">
        <v>1516</v>
      </c>
      <c r="S8" s="46">
        <f>R8*'Factors &amp; Percentages'!$E$13</f>
        <v>2691.9316727055943</v>
      </c>
      <c r="T8" s="63">
        <v>17</v>
      </c>
      <c r="U8" s="64">
        <v>33</v>
      </c>
      <c r="V8" s="63">
        <v>8111</v>
      </c>
      <c r="W8" s="46">
        <f>T8*'Factors &amp; Percentages'!$E$16+U8*'Factors &amp; Percentages'!$E$17+V8*'Factors &amp; Percentages'!$E$18</f>
        <v>3945.1986187137491</v>
      </c>
      <c r="X8" s="114"/>
      <c r="Y8" s="58">
        <f t="shared" si="3"/>
        <v>11718.185959919992</v>
      </c>
      <c r="Z8" s="71">
        <f t="shared" si="4"/>
        <v>11718.185959919992</v>
      </c>
      <c r="AA8" s="51">
        <f>IF($AE8&gt;$Z8,$AE8*(1+'Factors &amp; Percentages'!$B$3),IF($Y8&gt;$Z8,$Z8,IF($Y8&gt;$AE8,$Y8,$AE8*(1+'Factors &amp; Percentages'!$B$3))))</f>
        <v>14299.95</v>
      </c>
      <c r="AB8" s="59">
        <f t="shared" si="5"/>
        <v>14299.95</v>
      </c>
      <c r="AC8" s="42"/>
      <c r="AD8" s="43">
        <f t="shared" si="6"/>
        <v>14299.95</v>
      </c>
      <c r="AE8" s="75">
        <v>13619</v>
      </c>
      <c r="AF8" s="32"/>
      <c r="AG8" s="33"/>
      <c r="AH8" s="33"/>
      <c r="AI8" s="33"/>
      <c r="AJ8" s="5"/>
    </row>
    <row r="9" spans="1:36" s="89" customFormat="1" x14ac:dyDescent="0.3">
      <c r="A9" s="90" t="s">
        <v>64</v>
      </c>
      <c r="B9" s="78" t="s">
        <v>8</v>
      </c>
      <c r="C9" s="78" t="s">
        <v>59</v>
      </c>
      <c r="D9" s="79"/>
      <c r="E9" s="80">
        <f t="shared" si="0"/>
        <v>18296.25</v>
      </c>
      <c r="F9" s="80"/>
      <c r="G9" s="80">
        <v>20824</v>
      </c>
      <c r="H9" s="80">
        <v>30324</v>
      </c>
      <c r="I9" s="80">
        <v>21451</v>
      </c>
      <c r="J9" s="80">
        <v>4476</v>
      </c>
      <c r="K9" s="80">
        <v>21206</v>
      </c>
      <c r="L9" s="80"/>
      <c r="M9" s="81">
        <f t="shared" si="1"/>
        <v>32444.6</v>
      </c>
      <c r="N9" s="81">
        <f t="shared" si="2"/>
        <v>21898.6</v>
      </c>
      <c r="O9" s="81">
        <f>SUM(M9*'Factors &amp; Percentages'!$E$6+N9*'Factors &amp; Percentages'!$E$7)</f>
        <v>3897.7630898576535</v>
      </c>
      <c r="P9" s="82">
        <v>0.5</v>
      </c>
      <c r="Q9" s="81">
        <f>P9*'Factors &amp; Percentages'!$E$10</f>
        <v>5482.7878955843717</v>
      </c>
      <c r="R9" s="83">
        <v>323</v>
      </c>
      <c r="S9" s="81">
        <f>R9*'Factors &amp; Percentages'!$E$13</f>
        <v>573.54480889439776</v>
      </c>
      <c r="T9" s="84">
        <v>13</v>
      </c>
      <c r="U9" s="84">
        <v>26</v>
      </c>
      <c r="V9" s="84">
        <v>6682</v>
      </c>
      <c r="W9" s="81">
        <f>T9*'Factors &amp; Percentages'!$E$16+U9*'Factors &amp; Percentages'!$E$17+V9*'Factors &amp; Percentages'!$E$18</f>
        <v>3113.7680737620408</v>
      </c>
      <c r="X9" s="113"/>
      <c r="Y9" s="81">
        <f t="shared" si="3"/>
        <v>13067.863868098464</v>
      </c>
      <c r="Z9" s="85">
        <f t="shared" si="4"/>
        <v>13067.863868098464</v>
      </c>
      <c r="AA9" s="80">
        <f>IF($AE9&gt;$Z9,$AE9*(1+'Factors &amp; Percentages'!$B$3),IF($Y9&gt;$Z9,$Z9,IF($Y9&gt;$AE9,$Y9,$AE9*(1+'Factors &amp; Percentages'!$B$3))))</f>
        <v>18296.25</v>
      </c>
      <c r="AB9" s="80">
        <f t="shared" si="5"/>
        <v>18296.25</v>
      </c>
      <c r="AC9" s="85"/>
      <c r="AD9" s="80">
        <f t="shared" si="6"/>
        <v>18296.25</v>
      </c>
      <c r="AE9" s="86">
        <v>17425</v>
      </c>
      <c r="AF9" s="87"/>
      <c r="AG9" s="88"/>
      <c r="AH9" s="88"/>
      <c r="AI9" s="88"/>
      <c r="AJ9" s="5"/>
    </row>
    <row r="10" spans="1:36" x14ac:dyDescent="0.3">
      <c r="A10" s="91" t="s">
        <v>65</v>
      </c>
      <c r="B10" s="76" t="s">
        <v>8</v>
      </c>
      <c r="C10" s="76" t="s">
        <v>59</v>
      </c>
      <c r="D10" s="31"/>
      <c r="E10" s="43">
        <f t="shared" si="0"/>
        <v>9130.8758665084661</v>
      </c>
      <c r="F10" s="29"/>
      <c r="G10" s="51">
        <v>31724</v>
      </c>
      <c r="H10" s="59">
        <v>43302</v>
      </c>
      <c r="I10" s="51">
        <v>5743</v>
      </c>
      <c r="J10" s="59">
        <v>323</v>
      </c>
      <c r="K10" s="49">
        <v>351</v>
      </c>
      <c r="L10" s="29"/>
      <c r="M10" s="62">
        <f t="shared" si="1"/>
        <v>43337.1</v>
      </c>
      <c r="N10" s="58">
        <f t="shared" si="2"/>
        <v>5775.3</v>
      </c>
      <c r="O10" s="46">
        <f>SUM(M10*'Factors &amp; Percentages'!$E$6+N10*'Factors &amp; Percentages'!$E$7)</f>
        <v>3831.8462382654857</v>
      </c>
      <c r="P10" s="65">
        <v>0.1</v>
      </c>
      <c r="Q10" s="46">
        <f>P10*'Factors &amp; Percentages'!$E$10</f>
        <v>1096.5575791168744</v>
      </c>
      <c r="R10" s="69">
        <v>489</v>
      </c>
      <c r="S10" s="46">
        <f>R10*'Factors &amp; Percentages'!$E$13</f>
        <v>868.30777569461452</v>
      </c>
      <c r="T10" s="63">
        <v>18</v>
      </c>
      <c r="U10" s="64">
        <v>44</v>
      </c>
      <c r="V10" s="63">
        <v>2788</v>
      </c>
      <c r="W10" s="46">
        <f>T10*'Factors &amp; Percentages'!$E$16+U10*'Factors &amp; Percentages'!$E$17+V10*'Factors &amp; Percentages'!$E$18</f>
        <v>3334.1642734314914</v>
      </c>
      <c r="X10" s="114"/>
      <c r="Y10" s="58">
        <f t="shared" si="3"/>
        <v>9130.8758665084661</v>
      </c>
      <c r="Z10" s="71">
        <f t="shared" si="4"/>
        <v>9130.8758665084661</v>
      </c>
      <c r="AA10" s="51">
        <f>IF($AE10&gt;$Z10,$AE10*(1+'Factors &amp; Percentages'!$B$3),IF($Y10&gt;$Z10,$Z10,IF($Y10&gt;$AE10,$Y10,$AE10*(1+'Factors &amp; Percentages'!$B$3))))</f>
        <v>9130.8758665084661</v>
      </c>
      <c r="AB10" s="59">
        <f t="shared" si="5"/>
        <v>9130.8758665084661</v>
      </c>
      <c r="AC10" s="42"/>
      <c r="AD10" s="43">
        <f t="shared" si="6"/>
        <v>9130.8758665084661</v>
      </c>
      <c r="AE10" s="75">
        <v>9000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66</v>
      </c>
      <c r="B11" s="78" t="s">
        <v>8</v>
      </c>
      <c r="C11" s="78" t="s">
        <v>59</v>
      </c>
      <c r="D11" s="79"/>
      <c r="E11" s="80">
        <f t="shared" si="0"/>
        <v>23544.3</v>
      </c>
      <c r="F11" s="80"/>
      <c r="G11" s="80">
        <v>32973</v>
      </c>
      <c r="H11" s="80">
        <v>36222</v>
      </c>
      <c r="I11" s="80">
        <v>27743</v>
      </c>
      <c r="J11" s="80">
        <v>7376</v>
      </c>
      <c r="K11" s="80">
        <v>2108</v>
      </c>
      <c r="L11" s="80"/>
      <c r="M11" s="81">
        <f t="shared" si="1"/>
        <v>36432.800000000003</v>
      </c>
      <c r="N11" s="81">
        <f t="shared" si="2"/>
        <v>28480.6</v>
      </c>
      <c r="O11" s="81">
        <f>SUM(M11*'Factors &amp; Percentages'!$E$6+N11*'Factors &amp; Percentages'!$E$7)</f>
        <v>4604.6613969880764</v>
      </c>
      <c r="P11" s="82">
        <v>1</v>
      </c>
      <c r="Q11" s="81">
        <f>P11*'Factors &amp; Percentages'!$E$10</f>
        <v>10965.575791168743</v>
      </c>
      <c r="R11" s="83">
        <v>1663</v>
      </c>
      <c r="S11" s="81">
        <f>R11*'Factors &amp; Percentages'!$E$13</f>
        <v>2952.9567095708467</v>
      </c>
      <c r="T11" s="84">
        <v>28</v>
      </c>
      <c r="U11" s="84">
        <v>68</v>
      </c>
      <c r="V11" s="84">
        <v>12766</v>
      </c>
      <c r="W11" s="81">
        <f>T11*'Factors &amp; Percentages'!$E$16+U11*'Factors &amp; Percentages'!$E$17+V11*'Factors &amp; Percentages'!$E$18</f>
        <v>6639.9577044182388</v>
      </c>
      <c r="X11" s="113"/>
      <c r="Y11" s="81">
        <f t="shared" si="3"/>
        <v>25163.151602145903</v>
      </c>
      <c r="Z11" s="85">
        <f t="shared" si="4"/>
        <v>23544.3</v>
      </c>
      <c r="AA11" s="80">
        <f>IF($AE11&gt;$Z11,$AE11*(1+'Factors &amp; Percentages'!$B$3),IF($Y11&gt;$Z11,$Z11,IF($Y11&gt;$AE11,$Y11,$AE11*(1+'Factors &amp; Percentages'!$B$3))))</f>
        <v>23544.3</v>
      </c>
      <c r="AB11" s="80">
        <f t="shared" si="5"/>
        <v>23544.3</v>
      </c>
      <c r="AC11" s="85"/>
      <c r="AD11" s="80">
        <f t="shared" si="6"/>
        <v>23544.3</v>
      </c>
      <c r="AE11" s="86">
        <v>19467</v>
      </c>
      <c r="AF11" s="87"/>
      <c r="AG11" s="88"/>
      <c r="AH11" s="88"/>
      <c r="AI11" s="88"/>
      <c r="AJ11" s="5"/>
    </row>
    <row r="12" spans="1:36" x14ac:dyDescent="0.3">
      <c r="A12" s="91" t="s">
        <v>67</v>
      </c>
      <c r="B12" s="76" t="s">
        <v>8</v>
      </c>
      <c r="C12" s="76" t="s">
        <v>59</v>
      </c>
      <c r="D12" s="31"/>
      <c r="E12" s="43">
        <f t="shared" si="0"/>
        <v>16091.578145784724</v>
      </c>
      <c r="F12" s="29"/>
      <c r="G12" s="51">
        <v>26809</v>
      </c>
      <c r="H12" s="59">
        <v>32600</v>
      </c>
      <c r="I12" s="51">
        <v>10554</v>
      </c>
      <c r="J12" s="59">
        <v>5787</v>
      </c>
      <c r="K12" s="49">
        <v>2435</v>
      </c>
      <c r="L12" s="29"/>
      <c r="M12" s="62">
        <f t="shared" si="1"/>
        <v>32843.5</v>
      </c>
      <c r="N12" s="58">
        <f t="shared" si="2"/>
        <v>11132.7</v>
      </c>
      <c r="O12" s="46">
        <f>SUM(M12*'Factors &amp; Percentages'!$E$6+N12*'Factors &amp; Percentages'!$E$7)</f>
        <v>3299.5671597836154</v>
      </c>
      <c r="P12" s="65">
        <v>0.5</v>
      </c>
      <c r="Q12" s="46">
        <f>P12*'Factors &amp; Percentages'!$E$10</f>
        <v>5482.7878955843717</v>
      </c>
      <c r="R12" s="69">
        <v>1005</v>
      </c>
      <c r="S12" s="46">
        <f>R12*'Factors &amp; Percentages'!$E$13</f>
        <v>1784.5589255073367</v>
      </c>
      <c r="T12" s="63">
        <v>25</v>
      </c>
      <c r="U12" s="64">
        <v>72</v>
      </c>
      <c r="V12" s="63">
        <v>7901</v>
      </c>
      <c r="W12" s="46">
        <f>T12*'Factors &amp; Percentages'!$E$16+U12*'Factors &amp; Percentages'!$E$17+V12*'Factors &amp; Percentages'!$E$18</f>
        <v>5524.6641649093999</v>
      </c>
      <c r="X12" s="114"/>
      <c r="Y12" s="58">
        <f t="shared" si="3"/>
        <v>16091.578145784724</v>
      </c>
      <c r="Z12" s="71">
        <f t="shared" si="4"/>
        <v>16091.578145784724</v>
      </c>
      <c r="AA12" s="51">
        <f>IF($AE12&gt;$Z12,$AE12*(1+'Factors &amp; Percentages'!$B$3),IF($Y12&gt;$Z12,$Z12,IF($Y12&gt;$AE12,$Y12,$AE12*(1+'Factors &amp; Percentages'!$B$3))))</f>
        <v>16091.578145784724</v>
      </c>
      <c r="AB12" s="59">
        <f t="shared" si="5"/>
        <v>16091.578145784724</v>
      </c>
      <c r="AC12" s="42"/>
      <c r="AD12" s="43">
        <f t="shared" si="6"/>
        <v>16091.578145784724</v>
      </c>
      <c r="AE12" s="75">
        <v>12750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68</v>
      </c>
      <c r="B13" s="78" t="s">
        <v>8</v>
      </c>
      <c r="C13" s="78" t="s">
        <v>59</v>
      </c>
      <c r="D13" s="79"/>
      <c r="E13" s="80">
        <f t="shared" si="0"/>
        <v>4285.45</v>
      </c>
      <c r="F13" s="80"/>
      <c r="G13" s="80">
        <v>6593</v>
      </c>
      <c r="H13" s="80">
        <v>6593</v>
      </c>
      <c r="I13" s="80">
        <v>0</v>
      </c>
      <c r="J13" s="80">
        <v>0</v>
      </c>
      <c r="K13" s="80">
        <v>0</v>
      </c>
      <c r="L13" s="80"/>
      <c r="M13" s="81">
        <f t="shared" si="1"/>
        <v>6593</v>
      </c>
      <c r="N13" s="81">
        <f t="shared" si="2"/>
        <v>0</v>
      </c>
      <c r="O13" s="81">
        <f>SUM(M13*'Factors &amp; Percentages'!$E$6+N13*'Factors &amp; Percentages'!$E$7)</f>
        <v>531.50632821577756</v>
      </c>
      <c r="P13" s="82">
        <v>0.1</v>
      </c>
      <c r="Q13" s="81">
        <f>P13*'Factors &amp; Percentages'!$E$10</f>
        <v>1096.5575791168744</v>
      </c>
      <c r="R13" s="83">
        <v>8325</v>
      </c>
      <c r="S13" s="81">
        <f>R13*'Factors &amp; Percentages'!$E$13</f>
        <v>14782.540353083161</v>
      </c>
      <c r="T13" s="84">
        <v>5</v>
      </c>
      <c r="U13" s="84">
        <v>17</v>
      </c>
      <c r="V13" s="84">
        <v>30</v>
      </c>
      <c r="W13" s="81">
        <f>T13*'Factors &amp; Percentages'!$E$16+U13*'Factors &amp; Percentages'!$E$17+V13*'Factors &amp; Percentages'!$E$18</f>
        <v>882.80457684140049</v>
      </c>
      <c r="X13" s="113"/>
      <c r="Y13" s="81">
        <f t="shared" si="3"/>
        <v>17293.408837257215</v>
      </c>
      <c r="Z13" s="85">
        <f t="shared" si="4"/>
        <v>4285.45</v>
      </c>
      <c r="AA13" s="80">
        <f>IF($AE13&gt;$Z13,$AE13*(1+'Factors &amp; Percentages'!$B$3),IF($Y13&gt;$Z13,$Z13,IF($Y13&gt;$AE13,$Y13,$AE13*(1+'Factors &amp; Percentages'!$B$3))))</f>
        <v>4285.45</v>
      </c>
      <c r="AB13" s="80">
        <f t="shared" si="5"/>
        <v>4285.45</v>
      </c>
      <c r="AC13" s="85"/>
      <c r="AD13" s="80">
        <f t="shared" si="6"/>
        <v>4285.45</v>
      </c>
      <c r="AE13" s="86">
        <v>0</v>
      </c>
      <c r="AF13" s="87"/>
      <c r="AG13" s="88"/>
      <c r="AH13" s="88"/>
      <c r="AI13" s="88"/>
      <c r="AJ13" s="5"/>
    </row>
    <row r="14" spans="1:36" x14ac:dyDescent="0.3">
      <c r="A14" s="91" t="s">
        <v>69</v>
      </c>
      <c r="B14" s="76" t="s">
        <v>8</v>
      </c>
      <c r="C14" s="76" t="s">
        <v>59</v>
      </c>
      <c r="D14" s="31"/>
      <c r="E14" s="43">
        <f t="shared" ref="E14:E16" si="7">+AB14</f>
        <v>52500</v>
      </c>
      <c r="F14" s="29"/>
      <c r="G14" s="51">
        <v>81177</v>
      </c>
      <c r="H14" s="59">
        <v>98068</v>
      </c>
      <c r="I14" s="51">
        <v>13131</v>
      </c>
      <c r="J14" s="59">
        <v>76127</v>
      </c>
      <c r="K14" s="49">
        <v>40157</v>
      </c>
      <c r="L14" s="29"/>
      <c r="M14" s="62">
        <f t="shared" ref="M14:M16" si="8">H14+K14*0.1</f>
        <v>102083.7</v>
      </c>
      <c r="N14" s="58">
        <f t="shared" ref="N14:N16" si="9">I14+0.1*J14</f>
        <v>20743.7</v>
      </c>
      <c r="O14" s="46">
        <f>SUM(M14*'Factors &amp; Percentages'!$E$6+N14*'Factors &amp; Percentages'!$E$7)</f>
        <v>9444.2214904389566</v>
      </c>
      <c r="P14" s="65">
        <v>0.9</v>
      </c>
      <c r="Q14" s="46">
        <f>P14*'Factors &amp; Percentages'!$E$10</f>
        <v>9869.0182120518693</v>
      </c>
      <c r="R14" s="69">
        <v>1545</v>
      </c>
      <c r="S14" s="46">
        <f>R14*'Factors &amp; Percentages'!$E$13</f>
        <v>2743.4264078694878</v>
      </c>
      <c r="T14" s="63">
        <v>50</v>
      </c>
      <c r="U14" s="64">
        <v>116</v>
      </c>
      <c r="V14" s="63">
        <v>12125</v>
      </c>
      <c r="W14" s="46">
        <f>T14*'Factors &amp; Percentages'!$E$16+U14*'Factors &amp; Percentages'!$E$17+V14*'Factors &amp; Percentages'!$E$18</f>
        <v>9909.4392533852006</v>
      </c>
      <c r="X14" s="114"/>
      <c r="Y14" s="58">
        <f t="shared" ref="Y14:Y16" si="10">O14+Q14+S14+W14</f>
        <v>31966.105363745515</v>
      </c>
      <c r="Z14" s="71">
        <f t="shared" ref="Z14:Z16" si="11">IF($I14&gt;($H14+$G14)/2,$Y14,MIN(Y14,$H14*0.65))</f>
        <v>31966.105363745515</v>
      </c>
      <c r="AA14" s="51">
        <f>IF($AE14&gt;$Z14,$AE14*(1+'Factors &amp; Percentages'!$B$3),IF($Y14&gt;$Z14,$Z14,IF($Y14&gt;$AE14,$Y14,$AE14*(1+'Factors &amp; Percentages'!$B$3))))</f>
        <v>52500</v>
      </c>
      <c r="AB14" s="59">
        <f t="shared" ref="AB14:AB16" si="12">MIN(AA14,+P14*2*88928)</f>
        <v>52500</v>
      </c>
      <c r="AC14" s="42"/>
      <c r="AD14" s="43">
        <f t="shared" ref="AD14:AD17" si="13">AB14</f>
        <v>52500</v>
      </c>
      <c r="AE14" s="75">
        <v>50000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70</v>
      </c>
      <c r="B15" s="78" t="s">
        <v>8</v>
      </c>
      <c r="C15" s="78" t="s">
        <v>59</v>
      </c>
      <c r="D15" s="79"/>
      <c r="E15" s="80">
        <f t="shared" si="7"/>
        <v>47272.05</v>
      </c>
      <c r="F15" s="80"/>
      <c r="G15" s="80">
        <f>80725-11300</f>
        <v>69425</v>
      </c>
      <c r="H15" s="80">
        <v>73721</v>
      </c>
      <c r="I15" s="80">
        <v>42142</v>
      </c>
      <c r="J15" s="80">
        <v>9014</v>
      </c>
      <c r="K15" s="80">
        <v>2036</v>
      </c>
      <c r="L15" s="80"/>
      <c r="M15" s="81">
        <f t="shared" si="8"/>
        <v>73924.600000000006</v>
      </c>
      <c r="N15" s="81">
        <f t="shared" si="9"/>
        <v>43043.4</v>
      </c>
      <c r="O15" s="81">
        <f>SUM(M15*'Factors &amp; Percentages'!$E$6+N15*'Factors &amp; Percentages'!$E$7)</f>
        <v>8479.7951674443684</v>
      </c>
      <c r="P15" s="82">
        <v>0.5</v>
      </c>
      <c r="Q15" s="81">
        <f>P15*'Factors &amp; Percentages'!$E$10</f>
        <v>5482.7878955843717</v>
      </c>
      <c r="R15" s="83">
        <v>7277</v>
      </c>
      <c r="S15" s="81">
        <f>R15*'Factors &amp; Percentages'!$E$13</f>
        <v>12921.627165091431</v>
      </c>
      <c r="T15" s="84">
        <v>45</v>
      </c>
      <c r="U15" s="84">
        <v>121</v>
      </c>
      <c r="V15" s="84">
        <v>3199</v>
      </c>
      <c r="W15" s="81">
        <f>T15*'Factors &amp; Percentages'!$E$16+U15*'Factors &amp; Percentages'!$E$17+V15*'Factors &amp; Percentages'!$E$18</f>
        <v>7878.945571844084</v>
      </c>
      <c r="X15" s="113"/>
      <c r="Y15" s="81">
        <f t="shared" si="10"/>
        <v>34763.155799964254</v>
      </c>
      <c r="Z15" s="85">
        <f t="shared" si="11"/>
        <v>34763.155799964254</v>
      </c>
      <c r="AA15" s="80">
        <f>IF($AE15&gt;$Z15,$AE15*(1+'Factors &amp; Percentages'!$B$3),IF($Y15&gt;$Z15,$Z15,IF($Y15&gt;$AE15,$Y15,$AE15*(1+'Factors &amp; Percentages'!$B$3))))</f>
        <v>47272.05</v>
      </c>
      <c r="AB15" s="80">
        <f t="shared" si="12"/>
        <v>47272.05</v>
      </c>
      <c r="AC15" s="85"/>
      <c r="AD15" s="80">
        <f t="shared" si="13"/>
        <v>47272.05</v>
      </c>
      <c r="AE15" s="86">
        <v>45021</v>
      </c>
      <c r="AF15" s="87"/>
      <c r="AG15" s="88"/>
      <c r="AH15" s="88"/>
      <c r="AI15" s="88"/>
      <c r="AJ15" s="5"/>
    </row>
    <row r="16" spans="1:36" x14ac:dyDescent="0.3">
      <c r="A16" s="91" t="s">
        <v>71</v>
      </c>
      <c r="B16" s="76" t="s">
        <v>8</v>
      </c>
      <c r="C16" s="76" t="s">
        <v>59</v>
      </c>
      <c r="D16" s="31"/>
      <c r="E16" s="43">
        <f t="shared" si="7"/>
        <v>35703.200000000004</v>
      </c>
      <c r="F16" s="29"/>
      <c r="G16" s="51">
        <v>48627</v>
      </c>
      <c r="H16" s="59">
        <v>54928</v>
      </c>
      <c r="I16" s="51">
        <v>29634</v>
      </c>
      <c r="J16" s="59">
        <v>13984</v>
      </c>
      <c r="K16" s="49">
        <v>369</v>
      </c>
      <c r="L16" s="29"/>
      <c r="M16" s="62">
        <f t="shared" si="8"/>
        <v>54964.9</v>
      </c>
      <c r="N16" s="58">
        <f t="shared" si="9"/>
        <v>31032.400000000001</v>
      </c>
      <c r="O16" s="46">
        <f>SUM(M16*'Factors &amp; Percentages'!$E$6+N16*'Factors &amp; Percentages'!$E$7)</f>
        <v>6248.0697197252666</v>
      </c>
      <c r="P16" s="65">
        <v>0.4</v>
      </c>
      <c r="Q16" s="46">
        <f>P16*'Factors &amp; Percentages'!$E$10</f>
        <v>4386.2303164674977</v>
      </c>
      <c r="R16" s="69">
        <v>9684</v>
      </c>
      <c r="S16" s="46">
        <f>R16*'Factors &amp; Percentages'!$E$13</f>
        <v>17195.690183694576</v>
      </c>
      <c r="T16" s="63">
        <v>85</v>
      </c>
      <c r="U16" s="64">
        <v>80</v>
      </c>
      <c r="V16" s="63">
        <v>3401</v>
      </c>
      <c r="W16" s="46">
        <f>T16*'Factors &amp; Percentages'!$E$16+U16*'Factors &amp; Percentages'!$E$17+V16*'Factors &amp; Percentages'!$E$18</f>
        <v>11759.132982702289</v>
      </c>
      <c r="X16" s="114"/>
      <c r="Y16" s="58">
        <f t="shared" si="10"/>
        <v>39589.123202589632</v>
      </c>
      <c r="Z16" s="71">
        <f t="shared" si="11"/>
        <v>35703.200000000004</v>
      </c>
      <c r="AA16" s="51">
        <f>IF($AE16&gt;$Z16,$AE16*(1+'Factors &amp; Percentages'!$B$3),IF($Y16&gt;$Z16,$Z16,IF($Y16&gt;$AE16,$Y16,$AE16*(1+'Factors &amp; Percentages'!$B$3))))</f>
        <v>35703.200000000004</v>
      </c>
      <c r="AB16" s="59">
        <f t="shared" si="12"/>
        <v>35703.200000000004</v>
      </c>
      <c r="AC16" s="42"/>
      <c r="AD16" s="43">
        <f t="shared" si="13"/>
        <v>35703.200000000004</v>
      </c>
      <c r="AE16" s="75">
        <v>26000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72</v>
      </c>
      <c r="B17" s="78" t="s">
        <v>8</v>
      </c>
      <c r="C17" s="78" t="s">
        <v>59</v>
      </c>
      <c r="D17" s="79"/>
      <c r="E17" s="80">
        <f t="shared" ref="E17" si="14">+AB17</f>
        <v>36199.493947147646</v>
      </c>
      <c r="F17" s="80"/>
      <c r="G17" s="80">
        <v>48817</v>
      </c>
      <c r="H17" s="80">
        <v>52214</v>
      </c>
      <c r="I17" s="80">
        <v>51164</v>
      </c>
      <c r="J17" s="80">
        <v>180973</v>
      </c>
      <c r="K17" s="80">
        <v>6151</v>
      </c>
      <c r="L17" s="80"/>
      <c r="M17" s="81">
        <f t="shared" ref="M17:M19" si="15">H17+K17*0.1</f>
        <v>52829.1</v>
      </c>
      <c r="N17" s="81">
        <f t="shared" ref="N17:N19" si="16">I17+0.1*J17</f>
        <v>69261.3</v>
      </c>
      <c r="O17" s="81">
        <f>SUM(M17*'Factors &amp; Percentages'!$E$6+N17*'Factors &amp; Percentages'!$E$7)</f>
        <v>8314.2278579787362</v>
      </c>
      <c r="P17" s="82">
        <v>0.4</v>
      </c>
      <c r="Q17" s="81">
        <f>P17*'Factors &amp; Percentages'!$E$10</f>
        <v>4386.2303164674977</v>
      </c>
      <c r="R17" s="83">
        <v>10110</v>
      </c>
      <c r="S17" s="81">
        <f>R17*'Factors &amp; Percentages'!$E$13</f>
        <v>17952.130086446938</v>
      </c>
      <c r="T17" s="84">
        <v>32</v>
      </c>
      <c r="U17" s="84">
        <v>59</v>
      </c>
      <c r="V17" s="84">
        <v>4751</v>
      </c>
      <c r="W17" s="81">
        <f>T17*'Factors &amp; Percentages'!$E$16+U17*'Factors &amp; Percentages'!$E$17+V17*'Factors &amp; Percentages'!$E$18</f>
        <v>5546.905686254473</v>
      </c>
      <c r="X17" s="113"/>
      <c r="Y17" s="81">
        <f t="shared" ref="Y17:Y19" si="17">O17+Q17+S17+W17</f>
        <v>36199.493947147646</v>
      </c>
      <c r="Z17" s="85">
        <f t="shared" ref="Z17:Z19" si="18">IF($I17&gt;($H17+$G17)/2,$Y17,MIN(Y17,$H17*0.65))</f>
        <v>36199.493947147646</v>
      </c>
      <c r="AA17" s="80">
        <f>IF($AE17&gt;$Z17,$AE17*(1+'Factors &amp; Percentages'!$B$3),IF($Y17&gt;$Z17,$Z17,IF($Y17&gt;$AE17,$Y17,$AE17*(1+'Factors &amp; Percentages'!$B$3))))</f>
        <v>36199.493947147646</v>
      </c>
      <c r="AB17" s="80">
        <f t="shared" ref="AB17:AB19" si="19">MIN(AA17,+P17*2*88928)</f>
        <v>36199.493947147646</v>
      </c>
      <c r="AC17" s="85"/>
      <c r="AD17" s="80">
        <f t="shared" si="13"/>
        <v>36199.493947147646</v>
      </c>
      <c r="AE17" s="86">
        <v>28000</v>
      </c>
      <c r="AF17" s="87"/>
      <c r="AG17" s="88"/>
      <c r="AH17" s="88"/>
      <c r="AI17" s="88"/>
      <c r="AJ17" s="5"/>
    </row>
    <row r="18" spans="1:36" x14ac:dyDescent="0.3">
      <c r="A18" s="91" t="s">
        <v>73</v>
      </c>
      <c r="B18" s="76" t="s">
        <v>8</v>
      </c>
      <c r="C18" s="76" t="s">
        <v>59</v>
      </c>
      <c r="D18" s="31"/>
      <c r="E18" s="43">
        <f t="shared" ref="E18:E19" si="20">+AB18</f>
        <v>17785.600000000002</v>
      </c>
      <c r="F18" s="29"/>
      <c r="G18" s="51">
        <f>25976-1000</f>
        <v>24976</v>
      </c>
      <c r="H18" s="59">
        <v>29348</v>
      </c>
      <c r="I18" s="51">
        <v>19481</v>
      </c>
      <c r="J18" s="59">
        <v>3222</v>
      </c>
      <c r="K18" s="49">
        <v>42</v>
      </c>
      <c r="L18" s="29"/>
      <c r="M18" s="62">
        <f t="shared" si="15"/>
        <v>29352.2</v>
      </c>
      <c r="N18" s="58">
        <f t="shared" si="16"/>
        <v>19803.2</v>
      </c>
      <c r="O18" s="46">
        <f>SUM(M18*'Factors &amp; Percentages'!$E$6+N18*'Factors &amp; Percentages'!$E$7)</f>
        <v>3525.7760913147085</v>
      </c>
      <c r="P18" s="65">
        <v>0.1</v>
      </c>
      <c r="Q18" s="46">
        <f>P18*'Factors &amp; Percentages'!$E$10</f>
        <v>1096.5575791168744</v>
      </c>
      <c r="R18" s="69">
        <v>6196</v>
      </c>
      <c r="S18" s="46">
        <f>R18*'Factors &amp; Percentages'!$E$13</f>
        <v>11002.116519844236</v>
      </c>
      <c r="T18" s="63">
        <v>26</v>
      </c>
      <c r="U18" s="64">
        <v>44</v>
      </c>
      <c r="V18" s="63">
        <v>767</v>
      </c>
      <c r="W18" s="46">
        <f>T18*'Factors &amp; Percentages'!$E$16+U18*'Factors &amp; Percentages'!$E$17+V18*'Factors &amp; Percentages'!$E$18</f>
        <v>3899.9136328129953</v>
      </c>
      <c r="X18" s="114"/>
      <c r="Y18" s="58">
        <f t="shared" si="17"/>
        <v>19524.363823088814</v>
      </c>
      <c r="Z18" s="71">
        <f t="shared" si="18"/>
        <v>19076.2</v>
      </c>
      <c r="AA18" s="51">
        <f>IF($AE18&gt;$Z18,$AE18*(1+'Factors &amp; Percentages'!$B$3),IF($Y18&gt;$Z18,$Z18,IF($Y18&gt;$AE18,$Y18,$AE18*(1+'Factors &amp; Percentages'!$B$3))))</f>
        <v>19076.2</v>
      </c>
      <c r="AB18" s="59">
        <f t="shared" si="19"/>
        <v>17785.600000000002</v>
      </c>
      <c r="AC18" s="42"/>
      <c r="AD18" s="43">
        <f t="shared" ref="AD18:AD19" si="21">AB18</f>
        <v>17785.600000000002</v>
      </c>
      <c r="AE18" s="75">
        <v>13676</v>
      </c>
      <c r="AF18" s="32"/>
      <c r="AG18" s="33"/>
      <c r="AH18" s="33"/>
      <c r="AI18" s="33"/>
      <c r="AJ18" s="5"/>
    </row>
    <row r="19" spans="1:36" s="89" customFormat="1" x14ac:dyDescent="0.3">
      <c r="A19" s="90" t="s">
        <v>74</v>
      </c>
      <c r="B19" s="78" t="s">
        <v>8</v>
      </c>
      <c r="C19" s="78" t="s">
        <v>59</v>
      </c>
      <c r="D19" s="79"/>
      <c r="E19" s="80">
        <f t="shared" si="20"/>
        <v>17785.600000000002</v>
      </c>
      <c r="F19" s="80"/>
      <c r="G19" s="80">
        <v>1101</v>
      </c>
      <c r="H19" s="80">
        <v>1839</v>
      </c>
      <c r="I19" s="80">
        <v>46814</v>
      </c>
      <c r="J19" s="80">
        <v>0</v>
      </c>
      <c r="K19" s="80">
        <v>0</v>
      </c>
      <c r="L19" s="80"/>
      <c r="M19" s="81">
        <f t="shared" si="15"/>
        <v>1839</v>
      </c>
      <c r="N19" s="81">
        <f t="shared" si="16"/>
        <v>46814</v>
      </c>
      <c r="O19" s="81">
        <f>SUM(M19*'Factors &amp; Percentages'!$E$6+N19*'Factors &amp; Percentages'!$E$7)</f>
        <v>2889.2596416783936</v>
      </c>
      <c r="P19" s="82">
        <v>0.1</v>
      </c>
      <c r="Q19" s="81">
        <f>P19*'Factors &amp; Percentages'!$E$10</f>
        <v>1096.5575791168744</v>
      </c>
      <c r="R19" s="83">
        <v>7779</v>
      </c>
      <c r="S19" s="81">
        <f>R19*'Factors &amp; Percentages'!$E$13</f>
        <v>13813.018787583653</v>
      </c>
      <c r="T19" s="84">
        <v>8</v>
      </c>
      <c r="U19" s="84">
        <v>19</v>
      </c>
      <c r="V19" s="84">
        <v>159</v>
      </c>
      <c r="W19" s="81">
        <f>T19*'Factors &amp; Percentages'!$E$16+U19*'Factors &amp; Percentages'!$E$17+V19*'Factors &amp; Percentages'!$E$18</f>
        <v>1284.611692448467</v>
      </c>
      <c r="X19" s="113"/>
      <c r="Y19" s="81">
        <f t="shared" si="17"/>
        <v>19083.447700827386</v>
      </c>
      <c r="Z19" s="85">
        <f t="shared" si="18"/>
        <v>19083.447700827386</v>
      </c>
      <c r="AA19" s="80">
        <f>IF($AE19&gt;$Z19,$AE19*(1+'Factors &amp; Percentages'!$B$3),IF($Y19&gt;$Z19,$Z19,IF($Y19&gt;$AE19,$Y19,$AE19*(1+'Factors &amp; Percentages'!$B$3))))</f>
        <v>19083.447700827386</v>
      </c>
      <c r="AB19" s="80">
        <f t="shared" si="19"/>
        <v>17785.600000000002</v>
      </c>
      <c r="AC19" s="85"/>
      <c r="AD19" s="80">
        <f t="shared" si="21"/>
        <v>17785.600000000002</v>
      </c>
      <c r="AE19" s="86">
        <v>2000</v>
      </c>
      <c r="AF19" s="87"/>
      <c r="AG19" s="88"/>
      <c r="AH19" s="88"/>
      <c r="AI19" s="88"/>
      <c r="AJ19" s="5"/>
    </row>
    <row r="20" spans="1:36" s="89" customFormat="1" x14ac:dyDescent="0.3">
      <c r="A20" s="90"/>
      <c r="B20" s="78"/>
      <c r="C20" s="78"/>
      <c r="D20" s="79"/>
      <c r="E20" s="80"/>
      <c r="F20" s="80"/>
      <c r="G20" s="80"/>
      <c r="H20" s="80"/>
      <c r="I20" s="80"/>
      <c r="J20" s="80"/>
      <c r="K20" s="80"/>
      <c r="L20" s="80"/>
      <c r="M20" s="81"/>
      <c r="N20" s="81"/>
      <c r="O20" s="81"/>
      <c r="P20" s="82"/>
      <c r="Q20" s="81"/>
      <c r="R20" s="83"/>
      <c r="S20" s="81"/>
      <c r="T20" s="84"/>
      <c r="U20" s="84"/>
      <c r="V20" s="84"/>
      <c r="W20" s="81"/>
      <c r="X20" s="113"/>
      <c r="Y20" s="81"/>
      <c r="Z20" s="85"/>
      <c r="AA20" s="80"/>
      <c r="AB20" s="80"/>
      <c r="AC20" s="85"/>
      <c r="AD20" s="80"/>
      <c r="AE20" s="86"/>
      <c r="AF20" s="87"/>
      <c r="AG20" s="88"/>
      <c r="AH20" s="88"/>
      <c r="AI20" s="88"/>
      <c r="AJ20" s="5"/>
    </row>
    <row r="21" spans="1:36" ht="15" thickBot="1" x14ac:dyDescent="0.35">
      <c r="E21" s="44">
        <f>SUM(E3:E19)</f>
        <v>473491.48010325822</v>
      </c>
      <c r="F21" s="41"/>
      <c r="G21" s="52">
        <f>SUM(G3:G20)</f>
        <v>689469</v>
      </c>
      <c r="H21" s="60">
        <f>SUM(H3:H20)</f>
        <v>851256</v>
      </c>
      <c r="I21" s="52">
        <f>SUM(I3:I20)</f>
        <v>643246</v>
      </c>
      <c r="J21" s="60">
        <f>SUM(J3:J20)</f>
        <v>652536</v>
      </c>
      <c r="K21" s="50">
        <f>SUM(K3:K20)</f>
        <v>197253</v>
      </c>
      <c r="L21" s="41"/>
      <c r="M21" s="60">
        <f t="shared" ref="M21:W21" si="22">SUM(M3:M20)</f>
        <v>870981.2999999997</v>
      </c>
      <c r="N21" s="52">
        <f t="shared" si="22"/>
        <v>708499.6</v>
      </c>
      <c r="O21" s="47">
        <f t="shared" si="22"/>
        <v>111699.03772698516</v>
      </c>
      <c r="P21" s="67">
        <f t="shared" si="22"/>
        <v>7.8000000000000007</v>
      </c>
      <c r="Q21" s="47">
        <f t="shared" si="22"/>
        <v>85531.491171116213</v>
      </c>
      <c r="R21" s="67">
        <f t="shared" si="22"/>
        <v>81893</v>
      </c>
      <c r="S21" s="47">
        <f t="shared" si="22"/>
        <v>145415.80506126597</v>
      </c>
      <c r="T21" s="67">
        <f t="shared" si="22"/>
        <v>634</v>
      </c>
      <c r="U21" s="68">
        <f t="shared" si="22"/>
        <v>1224</v>
      </c>
      <c r="V21" s="67">
        <f t="shared" si="22"/>
        <v>95721</v>
      </c>
      <c r="W21" s="47">
        <f t="shared" si="22"/>
        <v>111161.96870765265</v>
      </c>
      <c r="X21" s="115"/>
      <c r="Y21" s="52">
        <f>SUM(Y3:Y20)</f>
        <v>453808.30266702001</v>
      </c>
      <c r="Z21" s="60">
        <f>SUM(Z3:Z20)</f>
        <v>434847.40520193847</v>
      </c>
      <c r="AA21" s="56">
        <f>SUM(AA3:AA19)</f>
        <v>482958.60885865556</v>
      </c>
      <c r="AB21" s="74">
        <f>SUM(AB3:AB19)</f>
        <v>473491.48010325822</v>
      </c>
      <c r="AC21" s="29"/>
      <c r="AD21" s="44">
        <f>SUM(AD3:AD19)</f>
        <v>473491.48010325822</v>
      </c>
      <c r="AE21" s="56">
        <f>SUM(AE3:AE19)</f>
        <v>399558</v>
      </c>
      <c r="AF21" s="36"/>
      <c r="AG21" s="37"/>
      <c r="AH21" s="37"/>
      <c r="AI21" s="37"/>
      <c r="AJ21" s="6"/>
    </row>
    <row r="22" spans="1:36" ht="15" hidden="1" thickTop="1" x14ac:dyDescent="0.3"/>
  </sheetData>
  <sheetProtection algorithmName="SHA-512" hashValue="Ds6OONlDwKHIKcwSLsbqAbp/vDS3PL2AsD8sISz71eMAtYoN4uaf8pAiGe6IyCY55sGWT+lywT+LEAtSsfpRdg==" saltValue="XvSGRvwru+dUo7hD7tXjOg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EEF8-7493-4553-AB2C-8B77C750E064}">
  <dimension ref="A1:AV22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B17" sqref="B17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44</v>
      </c>
      <c r="B3" s="78" t="s">
        <v>43</v>
      </c>
      <c r="C3" s="78" t="s">
        <v>42</v>
      </c>
      <c r="D3" s="79"/>
      <c r="E3" s="80">
        <f t="shared" ref="E3:E7" si="0">+AB3</f>
        <v>18983.25</v>
      </c>
      <c r="F3" s="80"/>
      <c r="G3" s="80">
        <v>24800</v>
      </c>
      <c r="H3" s="80">
        <v>29205</v>
      </c>
      <c r="I3" s="80">
        <v>16762</v>
      </c>
      <c r="J3" s="80">
        <v>18202</v>
      </c>
      <c r="K3" s="80">
        <v>3223</v>
      </c>
      <c r="L3" s="80"/>
      <c r="M3" s="81">
        <f t="shared" ref="M3:M7" si="1">H3+K3*0.1</f>
        <v>29527.3</v>
      </c>
      <c r="N3" s="81">
        <f t="shared" ref="N3:N7" si="2">I3+0.1*J3</f>
        <v>18582.2</v>
      </c>
      <c r="O3" s="81">
        <f>SUM(M3*'Factors &amp; Percentages'!$E$6+N3*'Factors &amp; Percentages'!$E$7)</f>
        <v>3468.4013445226519</v>
      </c>
      <c r="P3" s="82">
        <v>1</v>
      </c>
      <c r="Q3" s="81">
        <f>P3*'Factors &amp; Percentages'!$E$10</f>
        <v>10965.575791168743</v>
      </c>
      <c r="R3" s="83">
        <v>1414</v>
      </c>
      <c r="S3" s="81">
        <f>R3*'Factors &amp; Percentages'!$E$13</f>
        <v>2510.8122593705216</v>
      </c>
      <c r="T3" s="84">
        <v>20</v>
      </c>
      <c r="U3" s="84">
        <v>61</v>
      </c>
      <c r="V3" s="84">
        <v>13013</v>
      </c>
      <c r="W3" s="81">
        <f>T3*'Factors &amp; Percentages'!$E$16+U3*'Factors &amp; Percentages'!$E$17+V3*'Factors &amp; Percentages'!$E$18</f>
        <v>5641.0380303362308</v>
      </c>
      <c r="X3" s="113"/>
      <c r="Y3" s="81">
        <f t="shared" ref="Y3:Y7" si="3">O3+Q3+S3+W3</f>
        <v>22585.827425398151</v>
      </c>
      <c r="Z3" s="85">
        <f t="shared" ref="Z3:Z7" si="4">IF($I3&gt;($H3+$G3)/2,$Y3,MIN(Y3,$H3*0.65))</f>
        <v>18983.25</v>
      </c>
      <c r="AA3" s="80">
        <f>IF($AE3&gt;$Z3,$AE3*(1+'Factors &amp; Percentages'!$B$3),IF($Y3&gt;$Z3,$Z3,IF($Y3&gt;$AE3,$Y3,$AE3*(1+'Factors &amp; Percentages'!$B$3))))</f>
        <v>18983.25</v>
      </c>
      <c r="AB3" s="80">
        <f t="shared" ref="AB3:AB7" si="5">MIN(AA3,+P3*2*88928)</f>
        <v>18983.25</v>
      </c>
      <c r="AC3" s="85"/>
      <c r="AD3" s="80">
        <f t="shared" ref="AD3:AD7" si="6">AB3</f>
        <v>18983.25</v>
      </c>
      <c r="AE3" s="86">
        <v>18000</v>
      </c>
      <c r="AF3" s="87"/>
      <c r="AG3" s="88"/>
      <c r="AH3" s="88"/>
      <c r="AI3" s="88"/>
      <c r="AJ3" s="5"/>
    </row>
    <row r="4" spans="1:36" x14ac:dyDescent="0.3">
      <c r="A4" s="91" t="s">
        <v>45</v>
      </c>
      <c r="B4" s="76" t="s">
        <v>43</v>
      </c>
      <c r="C4" s="76" t="s">
        <v>42</v>
      </c>
      <c r="D4" s="31"/>
      <c r="E4" s="43">
        <f t="shared" si="0"/>
        <v>20062.242405712663</v>
      </c>
      <c r="F4" s="29"/>
      <c r="G4" s="51">
        <v>37204</v>
      </c>
      <c r="H4" s="59">
        <v>45602</v>
      </c>
      <c r="I4" s="51">
        <v>17849</v>
      </c>
      <c r="J4" s="59">
        <v>2380</v>
      </c>
      <c r="K4" s="49">
        <v>365</v>
      </c>
      <c r="L4" s="29"/>
      <c r="M4" s="62">
        <f t="shared" si="1"/>
        <v>45638.5</v>
      </c>
      <c r="N4" s="58">
        <f t="shared" si="2"/>
        <v>18087</v>
      </c>
      <c r="O4" s="46">
        <f>SUM(M4*'Factors &amp; Percentages'!$E$6+N4*'Factors &amp; Percentages'!$E$7)</f>
        <v>4738.239716869828</v>
      </c>
      <c r="P4" s="65">
        <v>0.33</v>
      </c>
      <c r="Q4" s="46">
        <f>P4*'Factors &amp; Percentages'!$E$10</f>
        <v>3618.6400110856853</v>
      </c>
      <c r="R4" s="69">
        <v>3815</v>
      </c>
      <c r="S4" s="46">
        <f>R4*'Factors &amp; Percentages'!$E$13</f>
        <v>6774.2211948363074</v>
      </c>
      <c r="T4" s="63">
        <v>28</v>
      </c>
      <c r="U4" s="64">
        <v>58</v>
      </c>
      <c r="V4" s="63">
        <v>3945</v>
      </c>
      <c r="W4" s="46">
        <f>T4*'Factors &amp; Percentages'!$E$16+U4*'Factors &amp; Percentages'!$E$17+V4*'Factors &amp; Percentages'!$E$18</f>
        <v>4931.1414829208406</v>
      </c>
      <c r="X4" s="114"/>
      <c r="Y4" s="58">
        <f t="shared" si="3"/>
        <v>20062.242405712663</v>
      </c>
      <c r="Z4" s="71">
        <f t="shared" si="4"/>
        <v>20062.242405712663</v>
      </c>
      <c r="AA4" s="51">
        <f>IF($AE4&gt;$Z4,$AE4*(1+'Factors &amp; Percentages'!$B$3),IF($Y4&gt;$Z4,$Z4,IF($Y4&gt;$AE4,$Y4,$AE4*(1+'Factors &amp; Percentages'!$B$3))))</f>
        <v>20062.242405712663</v>
      </c>
      <c r="AB4" s="59">
        <f t="shared" si="5"/>
        <v>20062.242405712663</v>
      </c>
      <c r="AC4" s="42"/>
      <c r="AD4" s="43">
        <f t="shared" si="6"/>
        <v>20062.242405712663</v>
      </c>
      <c r="AE4" s="75">
        <v>18406</v>
      </c>
      <c r="AF4" s="32"/>
      <c r="AG4" s="33"/>
      <c r="AH4" s="33"/>
      <c r="AI4" s="33"/>
      <c r="AJ4" s="5"/>
    </row>
    <row r="5" spans="1:36" s="89" customFormat="1" x14ac:dyDescent="0.3">
      <c r="A5" s="90" t="s">
        <v>46</v>
      </c>
      <c r="B5" s="78" t="s">
        <v>43</v>
      </c>
      <c r="C5" s="78" t="s">
        <v>42</v>
      </c>
      <c r="D5" s="79"/>
      <c r="E5" s="80">
        <f t="shared" si="0"/>
        <v>115500</v>
      </c>
      <c r="F5" s="80"/>
      <c r="G5" s="80">
        <f>240097-15447</f>
        <v>224650</v>
      </c>
      <c r="H5" s="80">
        <v>244461</v>
      </c>
      <c r="I5" s="80">
        <v>72009</v>
      </c>
      <c r="J5" s="80">
        <v>58350</v>
      </c>
      <c r="K5" s="80">
        <v>28449</v>
      </c>
      <c r="L5" s="80"/>
      <c r="M5" s="81">
        <f t="shared" si="1"/>
        <v>247305.9</v>
      </c>
      <c r="N5" s="81">
        <f t="shared" si="2"/>
        <v>77844</v>
      </c>
      <c r="O5" s="81">
        <f>SUM(M5*'Factors &amp; Percentages'!$E$6+N5*'Factors &amp; Percentages'!$E$7)</f>
        <v>24494.843706004205</v>
      </c>
      <c r="P5" s="82">
        <v>2</v>
      </c>
      <c r="Q5" s="81">
        <f>P5*'Factors &amp; Percentages'!$E$10</f>
        <v>21931.151582337487</v>
      </c>
      <c r="R5" s="83">
        <v>3816</v>
      </c>
      <c r="S5" s="81">
        <f>R5*'Factors &amp; Percentages'!$E$13</f>
        <v>6775.9968753592002</v>
      </c>
      <c r="T5" s="84">
        <v>130</v>
      </c>
      <c r="U5" s="84">
        <v>305</v>
      </c>
      <c r="V5" s="84">
        <v>25921</v>
      </c>
      <c r="W5" s="81">
        <f>T5*'Factors &amp; Percentages'!$E$16+U5*'Factors &amp; Percentages'!$E$17+V5*'Factors &amp; Percentages'!$E$18</f>
        <v>24853.912157959414</v>
      </c>
      <c r="X5" s="113"/>
      <c r="Y5" s="81">
        <f t="shared" si="3"/>
        <v>78055.904321660317</v>
      </c>
      <c r="Z5" s="85">
        <f t="shared" si="4"/>
        <v>78055.904321660317</v>
      </c>
      <c r="AA5" s="80">
        <f>IF($AE5&gt;$Z5,$AE5*(1+'Factors &amp; Percentages'!$B$3),IF($Y5&gt;$Z5,$Z5,IF($Y5&gt;$AE5,$Y5,$AE5*(1+'Factors &amp; Percentages'!$B$3))))</f>
        <v>115500</v>
      </c>
      <c r="AB5" s="80">
        <f t="shared" si="5"/>
        <v>115500</v>
      </c>
      <c r="AC5" s="85"/>
      <c r="AD5" s="80">
        <f t="shared" si="6"/>
        <v>115500</v>
      </c>
      <c r="AE5" s="86">
        <v>110000</v>
      </c>
      <c r="AF5" s="87"/>
      <c r="AG5" s="88"/>
      <c r="AH5" s="88"/>
      <c r="AI5" s="88"/>
      <c r="AJ5" s="5"/>
    </row>
    <row r="6" spans="1:36" x14ac:dyDescent="0.3">
      <c r="A6" s="91" t="s">
        <v>47</v>
      </c>
      <c r="B6" s="76" t="s">
        <v>43</v>
      </c>
      <c r="C6" s="76" t="s">
        <v>42</v>
      </c>
      <c r="D6" s="31"/>
      <c r="E6" s="43">
        <f t="shared" si="0"/>
        <v>12600</v>
      </c>
      <c r="F6" s="29"/>
      <c r="G6" s="51">
        <v>19611</v>
      </c>
      <c r="H6" s="59">
        <v>24132</v>
      </c>
      <c r="I6" s="51">
        <v>8181</v>
      </c>
      <c r="J6" s="59">
        <v>24006</v>
      </c>
      <c r="K6" s="49">
        <v>1783</v>
      </c>
      <c r="L6" s="29"/>
      <c r="M6" s="62">
        <f t="shared" si="1"/>
        <v>24310.3</v>
      </c>
      <c r="N6" s="58">
        <f t="shared" si="2"/>
        <v>10581.6</v>
      </c>
      <c r="O6" s="46">
        <f>SUM(M6*'Factors &amp; Percentages'!$E$6+N6*'Factors &amp; Percentages'!$E$7)</f>
        <v>2579.3807419992263</v>
      </c>
      <c r="P6" s="65">
        <v>0.25</v>
      </c>
      <c r="Q6" s="46">
        <f>P6*'Factors &amp; Percentages'!$E$10</f>
        <v>2741.3939477921858</v>
      </c>
      <c r="R6" s="69">
        <v>1323</v>
      </c>
      <c r="S6" s="46">
        <f>R6*'Factors &amp; Percentages'!$E$13</f>
        <v>2349.2253317872701</v>
      </c>
      <c r="T6" s="63">
        <v>15</v>
      </c>
      <c r="U6" s="64">
        <v>54</v>
      </c>
      <c r="V6" s="63">
        <v>5434</v>
      </c>
      <c r="W6" s="46">
        <f>T6*'Factors &amp; Percentages'!$E$16+U6*'Factors &amp; Percentages'!$E$17+V6*'Factors &amp; Percentages'!$E$18</f>
        <v>3628.7905274721888</v>
      </c>
      <c r="X6" s="114"/>
      <c r="Y6" s="58">
        <f t="shared" si="3"/>
        <v>11298.790549050871</v>
      </c>
      <c r="Z6" s="71">
        <f t="shared" si="4"/>
        <v>11298.790549050871</v>
      </c>
      <c r="AA6" s="51">
        <f>IF($AE6&gt;$Z6,$AE6*(1+'Factors &amp; Percentages'!$B$3),IF($Y6&gt;$Z6,$Z6,IF($Y6&gt;$AE6,$Y6,$AE6*(1+'Factors &amp; Percentages'!$B$3))))</f>
        <v>12600</v>
      </c>
      <c r="AB6" s="59">
        <f t="shared" si="5"/>
        <v>12600</v>
      </c>
      <c r="AC6" s="42"/>
      <c r="AD6" s="43">
        <f t="shared" si="6"/>
        <v>12600</v>
      </c>
      <c r="AE6" s="75">
        <v>12000</v>
      </c>
      <c r="AF6" s="32"/>
      <c r="AG6" s="33"/>
      <c r="AH6" s="33"/>
      <c r="AI6" s="33"/>
      <c r="AJ6" s="5"/>
    </row>
    <row r="7" spans="1:36" s="89" customFormat="1" x14ac:dyDescent="0.3">
      <c r="A7" s="90" t="s">
        <v>48</v>
      </c>
      <c r="B7" s="78" t="s">
        <v>43</v>
      </c>
      <c r="C7" s="78" t="s">
        <v>42</v>
      </c>
      <c r="D7" s="79"/>
      <c r="E7" s="80">
        <f t="shared" si="0"/>
        <v>4213.3</v>
      </c>
      <c r="F7" s="80"/>
      <c r="G7" s="80">
        <v>5891</v>
      </c>
      <c r="H7" s="80">
        <v>6482</v>
      </c>
      <c r="I7" s="80">
        <v>2674</v>
      </c>
      <c r="J7" s="80">
        <v>34069</v>
      </c>
      <c r="K7" s="80">
        <v>0</v>
      </c>
      <c r="L7" s="80"/>
      <c r="M7" s="81">
        <f t="shared" si="1"/>
        <v>6482</v>
      </c>
      <c r="N7" s="81">
        <f t="shared" si="2"/>
        <v>6080.9</v>
      </c>
      <c r="O7" s="81">
        <f>SUM(M7*'Factors &amp; Percentages'!$E$6+N7*'Factors &amp; Percentages'!$E$7)</f>
        <v>878.60050008833855</v>
      </c>
      <c r="P7" s="82">
        <v>0.25</v>
      </c>
      <c r="Q7" s="81">
        <f>P7*'Factors &amp; Percentages'!$E$10</f>
        <v>2741.3939477921858</v>
      </c>
      <c r="R7" s="83">
        <v>3043</v>
      </c>
      <c r="S7" s="81">
        <f>R7*'Factors &amp; Percentages'!$E$13</f>
        <v>5403.3958311630104</v>
      </c>
      <c r="T7" s="84">
        <v>7</v>
      </c>
      <c r="U7" s="84">
        <v>18</v>
      </c>
      <c r="V7" s="84">
        <v>1608</v>
      </c>
      <c r="W7" s="81">
        <f>T7*'Factors &amp; Percentages'!$E$16+U7*'Factors &amp; Percentages'!$E$17+V7*'Factors &amp; Percentages'!$E$18</f>
        <v>1403.3810205129796</v>
      </c>
      <c r="X7" s="113"/>
      <c r="Y7" s="81">
        <f t="shared" si="3"/>
        <v>10426.771299556514</v>
      </c>
      <c r="Z7" s="85">
        <f t="shared" si="4"/>
        <v>4213.3</v>
      </c>
      <c r="AA7" s="80">
        <f>IF($AE7&gt;$Z7,$AE7*(1+'Factors &amp; Percentages'!$B$3),IF($Y7&gt;$Z7,$Z7,IF($Y7&gt;$AE7,$Y7,$AE7*(1+'Factors &amp; Percentages'!$B$3))))</f>
        <v>4213.3</v>
      </c>
      <c r="AB7" s="80">
        <f t="shared" si="5"/>
        <v>4213.3</v>
      </c>
      <c r="AC7" s="85"/>
      <c r="AD7" s="80">
        <f t="shared" si="6"/>
        <v>4213.3</v>
      </c>
      <c r="AE7" s="86">
        <v>2200</v>
      </c>
      <c r="AF7" s="87"/>
      <c r="AG7" s="88"/>
      <c r="AH7" s="88"/>
      <c r="AI7" s="88"/>
      <c r="AJ7" s="5"/>
    </row>
    <row r="8" spans="1:36" x14ac:dyDescent="0.3">
      <c r="A8" s="91" t="s">
        <v>49</v>
      </c>
      <c r="B8" s="76" t="s">
        <v>43</v>
      </c>
      <c r="C8" s="76" t="s">
        <v>42</v>
      </c>
      <c r="D8" s="31"/>
      <c r="E8" s="43">
        <f t="shared" ref="E8:E12" si="7">+AB8</f>
        <v>42935.1</v>
      </c>
      <c r="F8" s="29"/>
      <c r="G8" s="51">
        <f>73647-475</f>
        <v>73172</v>
      </c>
      <c r="H8" s="59">
        <v>66054</v>
      </c>
      <c r="I8" s="51">
        <v>32987</v>
      </c>
      <c r="J8" s="59">
        <v>185171</v>
      </c>
      <c r="K8" s="49">
        <v>49925</v>
      </c>
      <c r="L8" s="29"/>
      <c r="M8" s="62">
        <f t="shared" ref="M8:M12" si="8">H8+K8*0.1</f>
        <v>71046.5</v>
      </c>
      <c r="N8" s="58">
        <f t="shared" ref="N8:N12" si="9">I8+0.1*J8</f>
        <v>51504.100000000006</v>
      </c>
      <c r="O8" s="46">
        <f>SUM(M8*'Factors &amp; Percentages'!$E$6+N8*'Factors &amp; Percentages'!$E$7)</f>
        <v>8743.1543040940978</v>
      </c>
      <c r="P8" s="65">
        <v>1</v>
      </c>
      <c r="Q8" s="46">
        <f>P8*'Factors &amp; Percentages'!$E$10</f>
        <v>10965.575791168743</v>
      </c>
      <c r="R8" s="69">
        <v>6319</v>
      </c>
      <c r="S8" s="46">
        <f>R8*'Factors &amp; Percentages'!$E$13</f>
        <v>11220.525224160059</v>
      </c>
      <c r="T8" s="63">
        <v>76</v>
      </c>
      <c r="U8" s="64">
        <v>118</v>
      </c>
      <c r="V8" s="63">
        <v>9834</v>
      </c>
      <c r="W8" s="46">
        <f>T8*'Factors &amp; Percentages'!$E$16+U8*'Factors &amp; Percentages'!$E$17+V8*'Factors &amp; Percentages'!$E$18</f>
        <v>12525.60490716359</v>
      </c>
      <c r="X8" s="114"/>
      <c r="Y8" s="58">
        <f t="shared" ref="Y8:Y12" si="10">O8+Q8+S8+W8</f>
        <v>43454.86022658649</v>
      </c>
      <c r="Z8" s="71">
        <f t="shared" ref="Z8:Z12" si="11">IF($I8&gt;($H8+$G8)/2,$Y8,MIN(Y8,$H8*0.65))</f>
        <v>42935.1</v>
      </c>
      <c r="AA8" s="51">
        <f>IF($AE8&gt;$Z8,$AE8*(1+'Factors &amp; Percentages'!$B$3),IF($Y8&gt;$Z8,$Z8,IF($Y8&gt;$AE8,$Y8,$AE8*(1+'Factors &amp; Percentages'!$B$3))))</f>
        <v>42935.1</v>
      </c>
      <c r="AB8" s="59">
        <f t="shared" ref="AB8:AB12" si="12">MIN(AA8,+P8*2*88928)</f>
        <v>42935.1</v>
      </c>
      <c r="AC8" s="42"/>
      <c r="AD8" s="43">
        <f t="shared" ref="AD8:AD12" si="13">AB8</f>
        <v>42935.1</v>
      </c>
      <c r="AE8" s="75">
        <v>40000</v>
      </c>
      <c r="AF8" s="32"/>
      <c r="AG8" s="33"/>
      <c r="AH8" s="33"/>
      <c r="AI8" s="33"/>
      <c r="AJ8" s="5"/>
    </row>
    <row r="9" spans="1:36" s="89" customFormat="1" x14ac:dyDescent="0.3">
      <c r="A9" s="90" t="s">
        <v>50</v>
      </c>
      <c r="B9" s="78" t="s">
        <v>43</v>
      </c>
      <c r="C9" s="78" t="s">
        <v>42</v>
      </c>
      <c r="D9" s="79"/>
      <c r="E9" s="80">
        <f t="shared" si="7"/>
        <v>25384.633782232639</v>
      </c>
      <c r="F9" s="80"/>
      <c r="G9" s="80">
        <f>19821-995+13966-631</f>
        <v>32161</v>
      </c>
      <c r="H9" s="80">
        <v>41613</v>
      </c>
      <c r="I9" s="80">
        <v>64665</v>
      </c>
      <c r="J9" s="80">
        <v>13003</v>
      </c>
      <c r="K9" s="80">
        <v>675</v>
      </c>
      <c r="L9" s="80"/>
      <c r="M9" s="81">
        <f t="shared" si="8"/>
        <v>41680.5</v>
      </c>
      <c r="N9" s="81">
        <f t="shared" si="9"/>
        <v>65965.3</v>
      </c>
      <c r="O9" s="81">
        <f>SUM(M9*'Factors &amp; Percentages'!$E$6+N9*'Factors &amp; Percentages'!$E$7)</f>
        <v>7222.4797791002848</v>
      </c>
      <c r="P9" s="82">
        <v>0.66</v>
      </c>
      <c r="Q9" s="81">
        <f>P9*'Factors &amp; Percentages'!$E$10</f>
        <v>7237.2800221713705</v>
      </c>
      <c r="R9" s="83">
        <v>1505</v>
      </c>
      <c r="S9" s="81">
        <f>R9*'Factors &amp; Percentages'!$E$13</f>
        <v>2672.3991869537726</v>
      </c>
      <c r="T9" s="84">
        <v>39</v>
      </c>
      <c r="U9" s="84">
        <v>101</v>
      </c>
      <c r="V9" s="84">
        <v>11386</v>
      </c>
      <c r="W9" s="81">
        <f>T9*'Factors &amp; Percentages'!$E$16+U9*'Factors &amp; Percentages'!$E$17+V9*'Factors &amp; Percentages'!$E$18</f>
        <v>8252.4747940072102</v>
      </c>
      <c r="X9" s="113"/>
      <c r="Y9" s="81">
        <f t="shared" si="10"/>
        <v>25384.633782232639</v>
      </c>
      <c r="Z9" s="85">
        <f t="shared" si="11"/>
        <v>25384.633782232639</v>
      </c>
      <c r="AA9" s="80">
        <f>IF($AE9&gt;$Z9,$AE9*(1+'Factors &amp; Percentages'!$B$3),IF($Y9&gt;$Z9,$Z9,IF($Y9&gt;$AE9,$Y9,$AE9*(1+'Factors &amp; Percentages'!$B$3))))</f>
        <v>25384.633782232639</v>
      </c>
      <c r="AB9" s="80">
        <f t="shared" si="12"/>
        <v>25384.633782232639</v>
      </c>
      <c r="AC9" s="85"/>
      <c r="AD9" s="80">
        <f t="shared" si="13"/>
        <v>25384.633782232639</v>
      </c>
      <c r="AE9" s="86">
        <v>20905</v>
      </c>
      <c r="AF9" s="87"/>
      <c r="AG9" s="88"/>
      <c r="AH9" s="88"/>
      <c r="AI9" s="88"/>
      <c r="AJ9" s="5"/>
    </row>
    <row r="10" spans="1:36" x14ac:dyDescent="0.3">
      <c r="A10" s="91" t="s">
        <v>51</v>
      </c>
      <c r="B10" s="76" t="s">
        <v>43</v>
      </c>
      <c r="C10" s="76" t="s">
        <v>42</v>
      </c>
      <c r="D10" s="31"/>
      <c r="E10" s="43">
        <f t="shared" si="7"/>
        <v>23310</v>
      </c>
      <c r="F10" s="29"/>
      <c r="G10" s="51">
        <v>34153</v>
      </c>
      <c r="H10" s="59">
        <v>31427</v>
      </c>
      <c r="I10" s="51">
        <v>22107</v>
      </c>
      <c r="J10" s="59">
        <v>35176</v>
      </c>
      <c r="K10" s="49">
        <v>27373</v>
      </c>
      <c r="L10" s="29"/>
      <c r="M10" s="62">
        <f t="shared" si="8"/>
        <v>34164.300000000003</v>
      </c>
      <c r="N10" s="58">
        <f t="shared" si="9"/>
        <v>25624.6</v>
      </c>
      <c r="O10" s="46">
        <f>SUM(M10*'Factors &amp; Percentages'!$E$6+N10*'Factors &amp; Percentages'!$E$7)</f>
        <v>4254.5606780078442</v>
      </c>
      <c r="P10" s="65">
        <v>0.85</v>
      </c>
      <c r="Q10" s="46">
        <f>P10*'Factors &amp; Percentages'!$E$10</f>
        <v>9320.7394224934324</v>
      </c>
      <c r="R10" s="69">
        <v>641</v>
      </c>
      <c r="S10" s="46">
        <f>R10*'Factors &amp; Percentages'!$E$13</f>
        <v>1138.2112151743311</v>
      </c>
      <c r="T10" s="63">
        <v>35</v>
      </c>
      <c r="U10" s="64">
        <v>74</v>
      </c>
      <c r="V10" s="63">
        <v>12521</v>
      </c>
      <c r="W10" s="46">
        <f>T10*'Factors &amp; Percentages'!$E$16+U10*'Factors &amp; Percentages'!$E$17+V10*'Factors &amp; Percentages'!$E$18</f>
        <v>7506.7633231523305</v>
      </c>
      <c r="X10" s="114"/>
      <c r="Y10" s="58">
        <f t="shared" si="10"/>
        <v>22220.274638827941</v>
      </c>
      <c r="Z10" s="71">
        <f t="shared" si="11"/>
        <v>20427.55</v>
      </c>
      <c r="AA10" s="51">
        <f>IF($AE10&gt;$Z10,$AE10*(1+'Factors &amp; Percentages'!$B$3),IF($Y10&gt;$Z10,$Z10,IF($Y10&gt;$AE10,$Y10,$AE10*(1+'Factors &amp; Percentages'!$B$3))))</f>
        <v>23310</v>
      </c>
      <c r="AB10" s="59">
        <f t="shared" si="12"/>
        <v>23310</v>
      </c>
      <c r="AC10" s="42"/>
      <c r="AD10" s="43">
        <f t="shared" si="13"/>
        <v>23310</v>
      </c>
      <c r="AE10" s="75">
        <v>22200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52</v>
      </c>
      <c r="B11" s="78" t="s">
        <v>43</v>
      </c>
      <c r="C11" s="78" t="s">
        <v>42</v>
      </c>
      <c r="D11" s="79"/>
      <c r="E11" s="80">
        <f t="shared" si="7"/>
        <v>49350</v>
      </c>
      <c r="F11" s="80"/>
      <c r="G11" s="80">
        <f>93568-9218</f>
        <v>84350</v>
      </c>
      <c r="H11" s="80">
        <v>104307</v>
      </c>
      <c r="I11" s="80">
        <v>70494</v>
      </c>
      <c r="J11" s="80">
        <v>101208</v>
      </c>
      <c r="K11" s="80">
        <v>10460</v>
      </c>
      <c r="L11" s="80"/>
      <c r="M11" s="81">
        <f t="shared" si="8"/>
        <v>105353</v>
      </c>
      <c r="N11" s="81">
        <f t="shared" si="9"/>
        <v>80614.8</v>
      </c>
      <c r="O11" s="81">
        <f>SUM(M11*'Factors &amp; Percentages'!$E$6+N11*'Factors &amp; Percentages'!$E$7)</f>
        <v>13213.293245033401</v>
      </c>
      <c r="P11" s="82">
        <v>0.85</v>
      </c>
      <c r="Q11" s="81">
        <f>P11*'Factors &amp; Percentages'!$E$10</f>
        <v>9320.7394224934324</v>
      </c>
      <c r="R11" s="83">
        <v>1542</v>
      </c>
      <c r="S11" s="81">
        <f>R11*'Factors &amp; Percentages'!$E$13</f>
        <v>2738.0993663008089</v>
      </c>
      <c r="T11" s="84">
        <v>74</v>
      </c>
      <c r="U11" s="84">
        <v>125</v>
      </c>
      <c r="V11" s="84">
        <v>10305</v>
      </c>
      <c r="W11" s="81">
        <f>T11*'Factors &amp; Percentages'!$E$16+U11*'Factors &amp; Percentages'!$E$17+V11*'Factors &amp; Percentages'!$E$18</f>
        <v>12503.820343625124</v>
      </c>
      <c r="X11" s="113"/>
      <c r="Y11" s="81">
        <f t="shared" si="10"/>
        <v>37775.952377452762</v>
      </c>
      <c r="Z11" s="85">
        <f t="shared" si="11"/>
        <v>37775.952377452762</v>
      </c>
      <c r="AA11" s="80">
        <f>IF($AE11&gt;$Z11,$AE11*(1+'Factors &amp; Percentages'!$B$3),IF($Y11&gt;$Z11,$Z11,IF($Y11&gt;$AE11,$Y11,$AE11*(1+'Factors &amp; Percentages'!$B$3))))</f>
        <v>49350</v>
      </c>
      <c r="AB11" s="80">
        <f t="shared" si="12"/>
        <v>49350</v>
      </c>
      <c r="AC11" s="85"/>
      <c r="AD11" s="80">
        <f t="shared" si="13"/>
        <v>49350</v>
      </c>
      <c r="AE11" s="86">
        <v>47000</v>
      </c>
      <c r="AF11" s="87"/>
      <c r="AG11" s="88"/>
      <c r="AH11" s="88"/>
      <c r="AI11" s="88"/>
      <c r="AJ11" s="5"/>
    </row>
    <row r="12" spans="1:36" x14ac:dyDescent="0.3">
      <c r="A12" s="91" t="s">
        <v>53</v>
      </c>
      <c r="B12" s="76" t="s">
        <v>43</v>
      </c>
      <c r="C12" s="76" t="s">
        <v>42</v>
      </c>
      <c r="D12" s="31"/>
      <c r="E12" s="43">
        <f t="shared" si="7"/>
        <v>17124.900000000001</v>
      </c>
      <c r="F12" s="29"/>
      <c r="G12" s="51">
        <v>28815</v>
      </c>
      <c r="H12" s="59">
        <v>26346</v>
      </c>
      <c r="I12" s="51">
        <v>12137</v>
      </c>
      <c r="J12" s="59">
        <v>680</v>
      </c>
      <c r="K12" s="49">
        <v>290</v>
      </c>
      <c r="L12" s="29"/>
      <c r="M12" s="62">
        <f t="shared" si="8"/>
        <v>26375</v>
      </c>
      <c r="N12" s="58">
        <f t="shared" si="9"/>
        <v>12205</v>
      </c>
      <c r="O12" s="46">
        <f>SUM(M12*'Factors &amp; Percentages'!$E$6+N12*'Factors &amp; Percentages'!$E$7)</f>
        <v>2840.8818307990919</v>
      </c>
      <c r="P12" s="65">
        <v>0.25</v>
      </c>
      <c r="Q12" s="46">
        <f>P12*'Factors &amp; Percentages'!$E$10</f>
        <v>2741.3939477921858</v>
      </c>
      <c r="R12" s="69">
        <v>6724</v>
      </c>
      <c r="S12" s="46">
        <f>R12*'Factors &amp; Percentages'!$E$13</f>
        <v>11939.675835931674</v>
      </c>
      <c r="T12" s="63">
        <v>18</v>
      </c>
      <c r="U12" s="64">
        <v>98</v>
      </c>
      <c r="V12" s="63">
        <v>5034</v>
      </c>
      <c r="W12" s="46">
        <f>T12*'Factors &amp; Percentages'!$E$16+U12*'Factors &amp; Percentages'!$E$17+V12*'Factors &amp; Percentages'!$E$18</f>
        <v>4692.4253067715044</v>
      </c>
      <c r="X12" s="114"/>
      <c r="Y12" s="58">
        <f t="shared" si="10"/>
        <v>22214.376921294453</v>
      </c>
      <c r="Z12" s="71">
        <f t="shared" si="11"/>
        <v>17124.900000000001</v>
      </c>
      <c r="AA12" s="51">
        <f>IF($AE12&gt;$Z12,$AE12*(1+'Factors &amp; Percentages'!$B$3),IF($Y12&gt;$Z12,$Z12,IF($Y12&gt;$AE12,$Y12,$AE12*(1+'Factors &amp; Percentages'!$B$3))))</f>
        <v>17124.900000000001</v>
      </c>
      <c r="AB12" s="59">
        <f t="shared" si="12"/>
        <v>17124.900000000001</v>
      </c>
      <c r="AC12" s="42"/>
      <c r="AD12" s="43">
        <f t="shared" si="13"/>
        <v>17124.900000000001</v>
      </c>
      <c r="AE12" s="75">
        <v>12000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216</v>
      </c>
      <c r="B13" s="78" t="s">
        <v>43</v>
      </c>
      <c r="C13" s="78" t="s">
        <v>42</v>
      </c>
      <c r="D13" s="79"/>
      <c r="E13" s="80">
        <f t="shared" ref="E13" si="14">+AB13</f>
        <v>16261.7</v>
      </c>
      <c r="F13" s="80"/>
      <c r="G13" s="80">
        <v>29484</v>
      </c>
      <c r="H13" s="80">
        <v>25018</v>
      </c>
      <c r="I13" s="80">
        <v>11983</v>
      </c>
      <c r="J13" s="80">
        <v>7336</v>
      </c>
      <c r="K13" s="80">
        <v>0</v>
      </c>
      <c r="L13" s="80"/>
      <c r="M13" s="81">
        <f t="shared" ref="M13:M17" si="15">H13+K13*0.1</f>
        <v>25018</v>
      </c>
      <c r="N13" s="81">
        <f t="shared" ref="N13:N17" si="16">I13+0.1*J13</f>
        <v>12716.6</v>
      </c>
      <c r="O13" s="81">
        <f>SUM(M13*'Factors &amp; Percentages'!$E$6+N13*'Factors &amp; Percentages'!$E$7)</f>
        <v>2761.4395609546759</v>
      </c>
      <c r="P13" s="82">
        <v>0.33</v>
      </c>
      <c r="Q13" s="81">
        <f>P13*'Factors &amp; Percentages'!$E$10</f>
        <v>3618.6400110856853</v>
      </c>
      <c r="R13" s="83">
        <v>3106</v>
      </c>
      <c r="S13" s="81">
        <f>R13*'Factors &amp; Percentages'!$E$13</f>
        <v>5515.2637041052612</v>
      </c>
      <c r="T13" s="84">
        <v>28</v>
      </c>
      <c r="U13" s="84">
        <v>64</v>
      </c>
      <c r="V13" s="84">
        <v>4811</v>
      </c>
      <c r="W13" s="81">
        <f>T13*'Factors &amp; Percentages'!$E$16+U13*'Factors &amp; Percentages'!$E$17+V13*'Factors &amp; Percentages'!$E$18</f>
        <v>5188.9395883047891</v>
      </c>
      <c r="X13" s="113"/>
      <c r="Y13" s="81">
        <f t="shared" ref="Y13:Y17" si="17">O13+Q13+S13+W13</f>
        <v>17084.282864450412</v>
      </c>
      <c r="Z13" s="85">
        <f t="shared" ref="Z13:Z17" si="18">IF($I13&gt;($H13+$G13)/2,$Y13,MIN(Y13,$H13*0.65))</f>
        <v>16261.7</v>
      </c>
      <c r="AA13" s="80">
        <f>IF($AE13&gt;$Z13,$AE13*(1+'Factors &amp; Percentages'!$B$3),IF($Y13&gt;$Z13,$Z13,IF($Y13&gt;$AE13,$Y13,$AE13*(1+'Factors &amp; Percentages'!$B$3))))</f>
        <v>16261.7</v>
      </c>
      <c r="AB13" s="80">
        <f t="shared" ref="AB13:AB17" si="19">MIN(AA13,+P13*2*88928)</f>
        <v>16261.7</v>
      </c>
      <c r="AC13" s="85"/>
      <c r="AD13" s="80">
        <f t="shared" ref="AD13:AD17" si="20">AB13</f>
        <v>16261.7</v>
      </c>
      <c r="AE13" s="86">
        <v>15000</v>
      </c>
      <c r="AF13" s="87"/>
      <c r="AG13" s="88"/>
      <c r="AH13" s="88"/>
      <c r="AI13" s="88"/>
      <c r="AJ13" s="5"/>
    </row>
    <row r="14" spans="1:36" s="89" customFormat="1" x14ac:dyDescent="0.3">
      <c r="A14" s="90" t="s">
        <v>54</v>
      </c>
      <c r="B14" s="78" t="s">
        <v>43</v>
      </c>
      <c r="C14" s="78" t="s">
        <v>42</v>
      </c>
      <c r="D14" s="79"/>
      <c r="E14" s="80">
        <f t="shared" ref="E14:E19" si="21">+AB14</f>
        <v>24419.200000000001</v>
      </c>
      <c r="F14" s="80"/>
      <c r="G14" s="80">
        <f>115812-99943</f>
        <v>15869</v>
      </c>
      <c r="H14" s="80">
        <v>37568</v>
      </c>
      <c r="I14" s="80">
        <v>22046</v>
      </c>
      <c r="J14" s="80">
        <v>7692</v>
      </c>
      <c r="K14" s="80">
        <v>454</v>
      </c>
      <c r="L14" s="80"/>
      <c r="M14" s="81">
        <f t="shared" si="15"/>
        <v>37613.4</v>
      </c>
      <c r="N14" s="81">
        <f t="shared" si="16"/>
        <v>22815.200000000001</v>
      </c>
      <c r="O14" s="81">
        <f>SUM(M14*'Factors &amp; Percentages'!$E$6+N14*'Factors &amp; Percentages'!$E$7)</f>
        <v>4368.1228471205504</v>
      </c>
      <c r="P14" s="82">
        <v>1</v>
      </c>
      <c r="Q14" s="81">
        <f>P14*'Factors &amp; Percentages'!$E$10</f>
        <v>10965.575791168743</v>
      </c>
      <c r="R14" s="83">
        <v>2967</v>
      </c>
      <c r="S14" s="81">
        <f>R14*'Factors &amp; Percentages'!$E$13</f>
        <v>5268.4441114231522</v>
      </c>
      <c r="T14" s="84">
        <v>38</v>
      </c>
      <c r="U14" s="84">
        <v>48</v>
      </c>
      <c r="V14" s="84">
        <v>11681</v>
      </c>
      <c r="W14" s="81">
        <f>T14*'Factors &amp; Percentages'!$E$16+U14*'Factors &amp; Percentages'!$E$17+V14*'Factors &amp; Percentages'!$E$18</f>
        <v>7238.1991247866572</v>
      </c>
      <c r="X14" s="113"/>
      <c r="Y14" s="81">
        <f t="shared" si="17"/>
        <v>27840.341874499103</v>
      </c>
      <c r="Z14" s="85">
        <f t="shared" si="18"/>
        <v>24419.200000000001</v>
      </c>
      <c r="AA14" s="80">
        <f>IF($AE14&gt;$Z14,$AE14*(1+'Factors &amp; Percentages'!$B$3),IF($Y14&gt;$Z14,$Z14,IF($Y14&gt;$AE14,$Y14,$AE14*(1+'Factors &amp; Percentages'!$B$3))))</f>
        <v>24419.200000000001</v>
      </c>
      <c r="AB14" s="80">
        <f t="shared" si="19"/>
        <v>24419.200000000001</v>
      </c>
      <c r="AC14" s="85"/>
      <c r="AD14" s="80">
        <f t="shared" si="20"/>
        <v>24419.200000000001</v>
      </c>
      <c r="AE14" s="86">
        <v>7700</v>
      </c>
      <c r="AF14" s="87"/>
      <c r="AG14" s="88"/>
      <c r="AH14" s="88"/>
      <c r="AI14" s="88"/>
      <c r="AJ14" s="5"/>
    </row>
    <row r="15" spans="1:36" x14ac:dyDescent="0.3">
      <c r="A15" s="91" t="s">
        <v>217</v>
      </c>
      <c r="B15" s="76" t="s">
        <v>43</v>
      </c>
      <c r="C15" s="76" t="s">
        <v>42</v>
      </c>
      <c r="D15" s="31"/>
      <c r="E15" s="43">
        <f t="shared" si="21"/>
        <v>25902.45</v>
      </c>
      <c r="F15" s="29"/>
      <c r="G15" s="51">
        <v>54453</v>
      </c>
      <c r="H15" s="59">
        <v>36615</v>
      </c>
      <c r="I15" s="51">
        <v>58558</v>
      </c>
      <c r="J15" s="59">
        <v>3907</v>
      </c>
      <c r="K15" s="49">
        <v>290</v>
      </c>
      <c r="L15" s="29"/>
      <c r="M15" s="62">
        <f t="shared" si="15"/>
        <v>36644</v>
      </c>
      <c r="N15" s="58">
        <f t="shared" si="16"/>
        <v>58948.7</v>
      </c>
      <c r="O15" s="46">
        <f>SUM(M15*'Factors &amp; Percentages'!$E$6+N15*'Factors &amp; Percentages'!$E$7)</f>
        <v>6405.6246633979426</v>
      </c>
      <c r="P15" s="65">
        <v>0.5</v>
      </c>
      <c r="Q15" s="46">
        <f>P15*'Factors &amp; Percentages'!$E$10</f>
        <v>5482.7878955843717</v>
      </c>
      <c r="R15" s="69">
        <v>3239</v>
      </c>
      <c r="S15" s="46">
        <f>R15*'Factors &amp; Percentages'!$E$13</f>
        <v>5751.4292136500135</v>
      </c>
      <c r="T15" s="63">
        <v>25</v>
      </c>
      <c r="U15" s="64">
        <v>66</v>
      </c>
      <c r="V15" s="63">
        <v>10967</v>
      </c>
      <c r="W15" s="46">
        <f>T15*'Factors &amp; Percentages'!$E$16+U15*'Factors &amp; Percentages'!$E$17+V15*'Factors &amp; Percentages'!$E$18</f>
        <v>5948.6030765107171</v>
      </c>
      <c r="X15" s="114"/>
      <c r="Y15" s="58">
        <f t="shared" si="17"/>
        <v>23588.444849143045</v>
      </c>
      <c r="Z15" s="71">
        <f t="shared" si="18"/>
        <v>23588.444849143045</v>
      </c>
      <c r="AA15" s="51">
        <f>IF($AE15&gt;$Z15,$AE15*(1+'Factors &amp; Percentages'!$B$3),IF($Y15&gt;$Z15,$Z15,IF($Y15&gt;$AE15,$Y15,$AE15*(1+'Factors &amp; Percentages'!$B$3))))</f>
        <v>25902.45</v>
      </c>
      <c r="AB15" s="59">
        <f t="shared" si="19"/>
        <v>25902.45</v>
      </c>
      <c r="AC15" s="42"/>
      <c r="AD15" s="43">
        <f t="shared" si="20"/>
        <v>25902.45</v>
      </c>
      <c r="AE15" s="75">
        <v>24669</v>
      </c>
      <c r="AF15" s="32"/>
      <c r="AG15" s="33"/>
      <c r="AH15" s="33"/>
      <c r="AI15" s="33"/>
      <c r="AJ15" s="5"/>
    </row>
    <row r="16" spans="1:36" s="89" customFormat="1" x14ac:dyDescent="0.3">
      <c r="A16" s="90" t="s">
        <v>55</v>
      </c>
      <c r="B16" s="78" t="s">
        <v>43</v>
      </c>
      <c r="C16" s="78" t="s">
        <v>42</v>
      </c>
      <c r="D16" s="79"/>
      <c r="E16" s="80">
        <f t="shared" si="21"/>
        <v>27809.702767182433</v>
      </c>
      <c r="F16" s="80"/>
      <c r="G16" s="80">
        <v>36686</v>
      </c>
      <c r="H16" s="80">
        <v>57838</v>
      </c>
      <c r="I16" s="80">
        <v>33277</v>
      </c>
      <c r="J16" s="80">
        <v>18210</v>
      </c>
      <c r="K16" s="80">
        <v>3744</v>
      </c>
      <c r="L16" s="80"/>
      <c r="M16" s="81">
        <f t="shared" si="15"/>
        <v>58212.4</v>
      </c>
      <c r="N16" s="81">
        <f t="shared" si="16"/>
        <v>35098</v>
      </c>
      <c r="O16" s="81">
        <f>SUM(M16*'Factors &amp; Percentages'!$E$6+N16*'Factors &amp; Percentages'!$E$7)</f>
        <v>6747.9175122521756</v>
      </c>
      <c r="P16" s="82">
        <v>1</v>
      </c>
      <c r="Q16" s="81">
        <f>P16*'Factors &amp; Percentages'!$E$10</f>
        <v>10965.575791168743</v>
      </c>
      <c r="R16" s="83">
        <v>1315</v>
      </c>
      <c r="S16" s="81">
        <f>R16*'Factors &amp; Percentages'!$E$13</f>
        <v>2335.0198876041272</v>
      </c>
      <c r="T16" s="84">
        <v>33</v>
      </c>
      <c r="U16" s="84">
        <v>77</v>
      </c>
      <c r="V16" s="84">
        <v>14999</v>
      </c>
      <c r="W16" s="81">
        <f>T16*'Factors &amp; Percentages'!$E$16+U16*'Factors &amp; Percentages'!$E$17+V16*'Factors &amp; Percentages'!$E$18</f>
        <v>7761.1895761573887</v>
      </c>
      <c r="X16" s="113"/>
      <c r="Y16" s="81">
        <f t="shared" si="17"/>
        <v>27809.702767182433</v>
      </c>
      <c r="Z16" s="85">
        <f t="shared" si="18"/>
        <v>27809.702767182433</v>
      </c>
      <c r="AA16" s="80">
        <f>IF($AE16&gt;$Z16,$AE16*(1+'Factors &amp; Percentages'!$B$3),IF($Y16&gt;$Z16,$Z16,IF($Y16&gt;$AE16,$Y16,$AE16*(1+'Factors &amp; Percentages'!$B$3))))</f>
        <v>27809.702767182433</v>
      </c>
      <c r="AB16" s="80">
        <f t="shared" si="19"/>
        <v>27809.702767182433</v>
      </c>
      <c r="AC16" s="85"/>
      <c r="AD16" s="80">
        <f t="shared" si="20"/>
        <v>27809.702767182433</v>
      </c>
      <c r="AE16" s="86">
        <v>18000</v>
      </c>
      <c r="AF16" s="87"/>
      <c r="AG16" s="88"/>
      <c r="AH16" s="88"/>
      <c r="AI16" s="88"/>
      <c r="AJ16" s="5"/>
    </row>
    <row r="17" spans="1:36" x14ac:dyDescent="0.3">
      <c r="A17" s="91" t="s">
        <v>56</v>
      </c>
      <c r="B17" s="76" t="s">
        <v>43</v>
      </c>
      <c r="C17" s="76" t="s">
        <v>42</v>
      </c>
      <c r="D17" s="31"/>
      <c r="E17" s="43">
        <f t="shared" si="21"/>
        <v>59221.05</v>
      </c>
      <c r="F17" s="29"/>
      <c r="G17" s="51">
        <f>83653-2250</f>
        <v>81403</v>
      </c>
      <c r="H17" s="59">
        <v>101655</v>
      </c>
      <c r="I17" s="51">
        <v>108762</v>
      </c>
      <c r="J17" s="59">
        <v>500</v>
      </c>
      <c r="K17" s="49">
        <v>850</v>
      </c>
      <c r="L17" s="29"/>
      <c r="M17" s="62">
        <f t="shared" si="15"/>
        <v>101740</v>
      </c>
      <c r="N17" s="58">
        <f t="shared" si="16"/>
        <v>108812</v>
      </c>
      <c r="O17" s="46">
        <f>SUM(M17*'Factors &amp; Percentages'!$E$6+N17*'Factors &amp; Percentages'!$E$7)</f>
        <v>14572.998468285969</v>
      </c>
      <c r="P17" s="65">
        <v>1</v>
      </c>
      <c r="Q17" s="46">
        <f>P17*'Factors &amp; Percentages'!$E$10</f>
        <v>10965.575791168743</v>
      </c>
      <c r="R17" s="69">
        <v>1757</v>
      </c>
      <c r="S17" s="46">
        <f>R17*'Factors &amp; Percentages'!$E$13</f>
        <v>3119.8706787227766</v>
      </c>
      <c r="T17" s="63">
        <v>71</v>
      </c>
      <c r="U17" s="64">
        <v>212</v>
      </c>
      <c r="V17" s="63">
        <v>18810</v>
      </c>
      <c r="W17" s="46">
        <f>T17*'Factors &amp; Percentages'!$E$16+U17*'Factors &amp; Percentages'!$E$17+V17*'Factors &amp; Percentages'!$E$18</f>
        <v>15195.792346519438</v>
      </c>
      <c r="X17" s="114"/>
      <c r="Y17" s="58">
        <f t="shared" si="17"/>
        <v>43854.23728469693</v>
      </c>
      <c r="Z17" s="71">
        <f t="shared" si="18"/>
        <v>43854.23728469693</v>
      </c>
      <c r="AA17" s="51">
        <f>IF($AE17&gt;$Z17,$AE17*(1+'Factors &amp; Percentages'!$B$3),IF($Y17&gt;$Z17,$Z17,IF($Y17&gt;$AE17,$Y17,$AE17*(1+'Factors &amp; Percentages'!$B$3))))</f>
        <v>59221.05</v>
      </c>
      <c r="AB17" s="59">
        <f t="shared" si="19"/>
        <v>59221.05</v>
      </c>
      <c r="AC17" s="42"/>
      <c r="AD17" s="43">
        <f t="shared" si="20"/>
        <v>59221.05</v>
      </c>
      <c r="AE17" s="75">
        <v>56401</v>
      </c>
      <c r="AF17" s="32"/>
      <c r="AG17" s="33"/>
      <c r="AH17" s="33"/>
      <c r="AI17" s="33"/>
      <c r="AJ17" s="5"/>
    </row>
    <row r="18" spans="1:36" s="89" customFormat="1" x14ac:dyDescent="0.3">
      <c r="A18" s="90" t="s">
        <v>57</v>
      </c>
      <c r="B18" s="78" t="s">
        <v>43</v>
      </c>
      <c r="C18" s="78" t="s">
        <v>42</v>
      </c>
      <c r="D18" s="79"/>
      <c r="E18" s="80">
        <f t="shared" si="21"/>
        <v>15308.002425129249</v>
      </c>
      <c r="F18" s="80"/>
      <c r="G18" s="80">
        <v>25955</v>
      </c>
      <c r="H18" s="80">
        <v>28786</v>
      </c>
      <c r="I18" s="80">
        <v>33397</v>
      </c>
      <c r="J18" s="80">
        <v>0</v>
      </c>
      <c r="K18" s="80">
        <v>519</v>
      </c>
      <c r="L18" s="80"/>
      <c r="M18" s="81">
        <f t="shared" ref="M18:M19" si="22">H18+K18*0.1</f>
        <v>28837.9</v>
      </c>
      <c r="N18" s="81">
        <f t="shared" ref="N18:N19" si="23">I18+0.1*J18</f>
        <v>33397</v>
      </c>
      <c r="O18" s="81">
        <f>SUM(M18*'Factors &amp; Percentages'!$E$6+N18*'Factors &amp; Percentages'!$E$7)</f>
        <v>4280.2451530870121</v>
      </c>
      <c r="P18" s="82">
        <v>0.5</v>
      </c>
      <c r="Q18" s="81">
        <f>P18*'Factors &amp; Percentages'!$E$10</f>
        <v>5482.7878955843717</v>
      </c>
      <c r="R18" s="83">
        <v>1440</v>
      </c>
      <c r="S18" s="81">
        <f>R18*'Factors &amp; Percentages'!$E$13</f>
        <v>2556.9799529657362</v>
      </c>
      <c r="T18" s="84">
        <v>18</v>
      </c>
      <c r="U18" s="84">
        <v>24</v>
      </c>
      <c r="V18" s="84">
        <v>2861</v>
      </c>
      <c r="W18" s="81">
        <f>T18*'Factors &amp; Percentages'!$E$16+U18*'Factors &amp; Percentages'!$E$17+V18*'Factors &amp; Percentages'!$E$18</f>
        <v>2987.9894234921303</v>
      </c>
      <c r="X18" s="113"/>
      <c r="Y18" s="81">
        <f t="shared" ref="Y18:Y19" si="24">O18+Q18+S18+W18</f>
        <v>15308.002425129249</v>
      </c>
      <c r="Z18" s="85">
        <f t="shared" ref="Z18:Z19" si="25">IF($I18&gt;($H18+$G18)/2,$Y18,MIN(Y18,$H18*0.65))</f>
        <v>15308.002425129249</v>
      </c>
      <c r="AA18" s="80">
        <f>IF($AE18&gt;$Z18,$AE18*(1+'Factors &amp; Percentages'!$B$3),IF($Y18&gt;$Z18,$Z18,IF($Y18&gt;$AE18,$Y18,$AE18*(1+'Factors &amp; Percentages'!$B$3))))</f>
        <v>15308.002425129249</v>
      </c>
      <c r="AB18" s="80">
        <f t="shared" ref="AB18:AB19" si="26">MIN(AA18,+P18*2*88928)</f>
        <v>15308.002425129249</v>
      </c>
      <c r="AC18" s="85"/>
      <c r="AD18" s="80">
        <f t="shared" ref="AD18:AD19" si="27">AB18</f>
        <v>15308.002425129249</v>
      </c>
      <c r="AE18" s="86">
        <v>10440</v>
      </c>
      <c r="AF18" s="87"/>
      <c r="AG18" s="88"/>
      <c r="AH18" s="88"/>
      <c r="AI18" s="88"/>
      <c r="AJ18" s="5"/>
    </row>
    <row r="19" spans="1:36" x14ac:dyDescent="0.3">
      <c r="A19" s="91" t="s">
        <v>58</v>
      </c>
      <c r="B19" s="76" t="s">
        <v>43</v>
      </c>
      <c r="C19" s="76" t="s">
        <v>42</v>
      </c>
      <c r="D19" s="31"/>
      <c r="E19" s="43">
        <f t="shared" si="21"/>
        <v>12841.341435421433</v>
      </c>
      <c r="F19" s="29"/>
      <c r="G19" s="51">
        <f>16878-1035</f>
        <v>15843</v>
      </c>
      <c r="H19" s="59">
        <v>26376</v>
      </c>
      <c r="I19" s="51">
        <v>47605</v>
      </c>
      <c r="J19" s="59">
        <v>0</v>
      </c>
      <c r="K19" s="49">
        <v>0</v>
      </c>
      <c r="L19" s="29"/>
      <c r="M19" s="62">
        <f t="shared" si="22"/>
        <v>26376</v>
      </c>
      <c r="N19" s="58">
        <f t="shared" si="23"/>
        <v>47605</v>
      </c>
      <c r="O19" s="46">
        <f>SUM(M19*'Factors &amp; Percentages'!$E$6+N19*'Factors &amp; Percentages'!$E$7)</f>
        <v>4913.6670140974493</v>
      </c>
      <c r="P19" s="65">
        <v>0.25</v>
      </c>
      <c r="Q19" s="46">
        <f>P19*'Factors &amp; Percentages'!$E$10</f>
        <v>2741.3939477921858</v>
      </c>
      <c r="R19" s="69">
        <v>1262</v>
      </c>
      <c r="S19" s="46">
        <f>R19*'Factors &amp; Percentages'!$E$13</f>
        <v>2240.9088198908048</v>
      </c>
      <c r="T19" s="63">
        <v>16</v>
      </c>
      <c r="U19" s="64">
        <v>39</v>
      </c>
      <c r="V19" s="63">
        <v>2384</v>
      </c>
      <c r="W19" s="46">
        <f>T19*'Factors &amp; Percentages'!$E$16+U19*'Factors &amp; Percentages'!$E$17+V19*'Factors &amp; Percentages'!$E$18</f>
        <v>2945.3716536409916</v>
      </c>
      <c r="X19" s="114"/>
      <c r="Y19" s="58">
        <f t="shared" si="24"/>
        <v>12841.341435421433</v>
      </c>
      <c r="Z19" s="71">
        <f t="shared" si="25"/>
        <v>12841.341435421433</v>
      </c>
      <c r="AA19" s="51">
        <f>IF($AE19&gt;$Z19,$AE19*(1+'Factors &amp; Percentages'!$B$3),IF($Y19&gt;$Z19,$Z19,IF($Y19&gt;$AE19,$Y19,$AE19*(1+'Factors &amp; Percentages'!$B$3))))</f>
        <v>12841.341435421433</v>
      </c>
      <c r="AB19" s="59">
        <f t="shared" si="26"/>
        <v>12841.341435421433</v>
      </c>
      <c r="AC19" s="42"/>
      <c r="AD19" s="43">
        <f t="shared" si="27"/>
        <v>12841.341435421433</v>
      </c>
      <c r="AE19" s="75">
        <v>7000</v>
      </c>
      <c r="AF19" s="32"/>
      <c r="AG19" s="33"/>
      <c r="AH19" s="33"/>
      <c r="AI19" s="33"/>
      <c r="AJ19" s="5"/>
    </row>
    <row r="20" spans="1:36" s="89" customFormat="1" x14ac:dyDescent="0.3">
      <c r="A20" s="90"/>
      <c r="B20" s="78"/>
      <c r="C20" s="78"/>
      <c r="D20" s="79"/>
      <c r="E20" s="80"/>
      <c r="F20" s="80"/>
      <c r="G20" s="80"/>
      <c r="H20" s="80"/>
      <c r="I20" s="80"/>
      <c r="J20" s="80"/>
      <c r="K20" s="80"/>
      <c r="L20" s="80"/>
      <c r="M20" s="81"/>
      <c r="N20" s="81"/>
      <c r="O20" s="81"/>
      <c r="P20" s="82"/>
      <c r="Q20" s="81"/>
      <c r="R20" s="83"/>
      <c r="S20" s="81"/>
      <c r="T20" s="84"/>
      <c r="U20" s="84"/>
      <c r="V20" s="84"/>
      <c r="W20" s="81"/>
      <c r="X20" s="113"/>
      <c r="Y20" s="81"/>
      <c r="Z20" s="85"/>
      <c r="AA20" s="80"/>
      <c r="AB20" s="80"/>
      <c r="AC20" s="85"/>
      <c r="AD20" s="80"/>
      <c r="AE20" s="86"/>
      <c r="AF20" s="87"/>
      <c r="AG20" s="88"/>
      <c r="AH20" s="88"/>
      <c r="AI20" s="88"/>
      <c r="AJ20" s="5"/>
    </row>
    <row r="21" spans="1:36" ht="15" thickBot="1" x14ac:dyDescent="0.35">
      <c r="E21" s="44">
        <f>SUM(E3:E19)</f>
        <v>511226.87281567842</v>
      </c>
      <c r="F21" s="41"/>
      <c r="G21" s="52">
        <f>SUM(G3:G20)</f>
        <v>824500</v>
      </c>
      <c r="H21" s="60">
        <f>SUM(H3:H20)</f>
        <v>933485</v>
      </c>
      <c r="I21" s="52">
        <f>SUM(I3:I20)</f>
        <v>635493</v>
      </c>
      <c r="J21" s="60">
        <f>SUM(J3:J20)</f>
        <v>509890</v>
      </c>
      <c r="K21" s="50">
        <f>SUM(K3:K20)</f>
        <v>128400</v>
      </c>
      <c r="L21" s="41"/>
      <c r="M21" s="60">
        <f t="shared" ref="M21:W21" si="28">SUM(M3:M20)</f>
        <v>946325.00000000012</v>
      </c>
      <c r="N21" s="52">
        <f t="shared" si="28"/>
        <v>686482</v>
      </c>
      <c r="O21" s="47">
        <f t="shared" si="28"/>
        <v>116483.85106571474</v>
      </c>
      <c r="P21" s="67">
        <f t="shared" si="28"/>
        <v>12.02</v>
      </c>
      <c r="Q21" s="47">
        <f t="shared" si="28"/>
        <v>131806.22100984832</v>
      </c>
      <c r="R21" s="67">
        <f t="shared" si="28"/>
        <v>45228</v>
      </c>
      <c r="S21" s="47">
        <f t="shared" si="28"/>
        <v>80310.478689398806</v>
      </c>
      <c r="T21" s="67">
        <f t="shared" si="28"/>
        <v>671</v>
      </c>
      <c r="U21" s="68">
        <f t="shared" si="28"/>
        <v>1542</v>
      </c>
      <c r="V21" s="67">
        <f t="shared" si="28"/>
        <v>165514</v>
      </c>
      <c r="W21" s="47">
        <f t="shared" si="28"/>
        <v>133205.43668333351</v>
      </c>
      <c r="X21" s="115"/>
      <c r="Y21" s="52">
        <f>SUM(Y3:Y20)</f>
        <v>461805.9874482954</v>
      </c>
      <c r="Z21" s="60">
        <f>SUM(Z3:Z20)</f>
        <v>440344.25219768239</v>
      </c>
      <c r="AA21" s="56">
        <f>SUM(AA3:AA19)</f>
        <v>511226.87281567842</v>
      </c>
      <c r="AB21" s="74">
        <f>SUM(AB3:AB19)</f>
        <v>511226.87281567842</v>
      </c>
      <c r="AC21" s="29"/>
      <c r="AD21" s="44">
        <f>SUM(AD3:AD19)</f>
        <v>511226.87281567842</v>
      </c>
      <c r="AE21" s="56">
        <f>SUM(AE3:AE19)</f>
        <v>441921</v>
      </c>
      <c r="AF21" s="36"/>
      <c r="AG21" s="37"/>
      <c r="AH21" s="37"/>
      <c r="AI21" s="37"/>
      <c r="AJ21" s="6"/>
    </row>
    <row r="22" spans="1:36" ht="15" hidden="1" thickTop="1" x14ac:dyDescent="0.3"/>
  </sheetData>
  <sheetProtection algorithmName="SHA-512" hashValue="zbjxhcVU0Pld0qUNatTkD4TDYbfTgM6nMCqF2iyAIgqA3g2Xe2gyyl8WgSmoy5v/+4/OhN8u3EBXZQdhdJ+VpA==" saltValue="Edb3SsORvxXp53og1LNYdg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A468-A052-4343-8583-F80DF056A072}">
  <dimension ref="A1:AV16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13" sqref="A13:XFD13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31</v>
      </c>
      <c r="B3" s="78" t="s">
        <v>8</v>
      </c>
      <c r="C3" s="78" t="s">
        <v>30</v>
      </c>
      <c r="D3" s="79"/>
      <c r="E3" s="80">
        <f t="shared" ref="E3:E5" si="0">+AB3</f>
        <v>75291.3</v>
      </c>
      <c r="F3" s="80"/>
      <c r="G3" s="80">
        <v>100442</v>
      </c>
      <c r="H3" s="80">
        <v>93456</v>
      </c>
      <c r="I3" s="80">
        <v>68271</v>
      </c>
      <c r="J3" s="80">
        <v>37192</v>
      </c>
      <c r="K3" s="80">
        <v>11558</v>
      </c>
      <c r="L3" s="80"/>
      <c r="M3" s="81">
        <f t="shared" ref="M3:M5" si="1">H3+K3*0.1</f>
        <v>94611.8</v>
      </c>
      <c r="N3" s="81">
        <f t="shared" ref="N3:N5" si="2">I3+0.1*J3</f>
        <v>71990.2</v>
      </c>
      <c r="O3" s="81">
        <f>SUM(M3*'Factors &amp; Percentages'!$E$6+N3*'Factors &amp; Percentages'!$E$7)</f>
        <v>11842.393702861889</v>
      </c>
      <c r="P3" s="82">
        <v>1</v>
      </c>
      <c r="Q3" s="81">
        <f>P3*'Factors &amp; Percentages'!$E$10</f>
        <v>10965.575791168743</v>
      </c>
      <c r="R3" s="83">
        <v>6700</v>
      </c>
      <c r="S3" s="81">
        <f>R3*'Factors &amp; Percentages'!$E$13</f>
        <v>11897.059503382245</v>
      </c>
      <c r="T3" s="84">
        <v>86</v>
      </c>
      <c r="U3" s="84">
        <v>135</v>
      </c>
      <c r="V3" s="84">
        <v>6953</v>
      </c>
      <c r="W3" s="81">
        <f>T3*'Factors &amp; Percentages'!$E$16+U3*'Factors &amp; Percentages'!$E$17+V3*'Factors &amp; Percentages'!$E$18</f>
        <v>13476.291392401596</v>
      </c>
      <c r="X3" s="113"/>
      <c r="Y3" s="81">
        <f t="shared" ref="Y3:Y5" si="3">O3+Q3+S3+W3</f>
        <v>48181.320389814471</v>
      </c>
      <c r="Z3" s="85">
        <f t="shared" ref="Z3:Z5" si="4">IF($I3&gt;($H3+$G3)/2,$Y3,MIN(Y3,$H3*0.65))</f>
        <v>48181.320389814471</v>
      </c>
      <c r="AA3" s="80">
        <f>IF($AE3&gt;$Z3,$AE3*(1+'Factors &amp; Percentages'!$B$3),IF($Y3&gt;$Z3,$Z3,IF($Y3&gt;$AE3,$Y3,$AE3*(1+'Factors &amp; Percentages'!$B$3))))</f>
        <v>75291.3</v>
      </c>
      <c r="AB3" s="80">
        <f t="shared" ref="AB3:AB5" si="5">MIN(AA3,+P3*2*88928)</f>
        <v>75291.3</v>
      </c>
      <c r="AC3" s="85"/>
      <c r="AD3" s="80">
        <f t="shared" ref="AD3:AD5" si="6">AB3</f>
        <v>75291.3</v>
      </c>
      <c r="AE3" s="86">
        <v>71706</v>
      </c>
      <c r="AF3" s="87"/>
      <c r="AG3" s="88"/>
      <c r="AH3" s="88"/>
      <c r="AI3" s="88"/>
      <c r="AJ3" s="5"/>
    </row>
    <row r="4" spans="1:36" x14ac:dyDescent="0.3">
      <c r="A4" s="91" t="s">
        <v>32</v>
      </c>
      <c r="B4" s="76" t="s">
        <v>8</v>
      </c>
      <c r="C4" s="76" t="s">
        <v>30</v>
      </c>
      <c r="D4" s="31"/>
      <c r="E4" s="43">
        <f t="shared" si="0"/>
        <v>10613.347279895934</v>
      </c>
      <c r="F4" s="29"/>
      <c r="G4" s="51">
        <v>14713</v>
      </c>
      <c r="H4" s="59">
        <v>17869</v>
      </c>
      <c r="I4" s="51">
        <v>16764</v>
      </c>
      <c r="J4" s="59">
        <v>11495</v>
      </c>
      <c r="K4" s="49">
        <v>1100</v>
      </c>
      <c r="L4" s="29"/>
      <c r="M4" s="62">
        <f t="shared" si="1"/>
        <v>17979</v>
      </c>
      <c r="N4" s="58">
        <f t="shared" si="2"/>
        <v>17913.5</v>
      </c>
      <c r="O4" s="46">
        <f>SUM(M4*'Factors &amp; Percentages'!$E$6+N4*'Factors &amp; Percentages'!$E$7)</f>
        <v>2498.2617253238122</v>
      </c>
      <c r="P4" s="65">
        <v>0.33</v>
      </c>
      <c r="Q4" s="46">
        <f>P4*'Factors &amp; Percentages'!$E$10</f>
        <v>3618.6400110856853</v>
      </c>
      <c r="R4" s="69">
        <v>1211</v>
      </c>
      <c r="S4" s="46">
        <f>R4*'Factors &amp; Percentages'!$E$13</f>
        <v>2150.3491132232684</v>
      </c>
      <c r="T4" s="63">
        <v>13</v>
      </c>
      <c r="U4" s="64">
        <v>33</v>
      </c>
      <c r="V4" s="63">
        <v>1530</v>
      </c>
      <c r="W4" s="46">
        <f>T4*'Factors &amp; Percentages'!$E$16+U4*'Factors &amp; Percentages'!$E$17+V4*'Factors &amp; Percentages'!$E$18</f>
        <v>2346.0964302631683</v>
      </c>
      <c r="X4" s="114"/>
      <c r="Y4" s="58">
        <f t="shared" si="3"/>
        <v>10613.347279895934</v>
      </c>
      <c r="Z4" s="71">
        <f t="shared" si="4"/>
        <v>10613.347279895934</v>
      </c>
      <c r="AA4" s="51">
        <f>IF($AE4&gt;$Z4,$AE4*(1+'Factors &amp; Percentages'!$B$3),IF($Y4&gt;$Z4,$Z4,IF($Y4&gt;$AE4,$Y4,$AE4*(1+'Factors &amp; Percentages'!$B$3))))</f>
        <v>10613.347279895934</v>
      </c>
      <c r="AB4" s="59">
        <f t="shared" si="5"/>
        <v>10613.347279895934</v>
      </c>
      <c r="AC4" s="42"/>
      <c r="AD4" s="43">
        <f t="shared" si="6"/>
        <v>10613.347279895934</v>
      </c>
      <c r="AE4" s="75">
        <v>8500</v>
      </c>
      <c r="AF4" s="32"/>
      <c r="AG4" s="33"/>
      <c r="AH4" s="33"/>
      <c r="AI4" s="33"/>
      <c r="AJ4" s="5"/>
    </row>
    <row r="5" spans="1:36" s="89" customFormat="1" x14ac:dyDescent="0.3">
      <c r="A5" s="90" t="s">
        <v>33</v>
      </c>
      <c r="B5" s="78" t="s">
        <v>8</v>
      </c>
      <c r="C5" s="78" t="s">
        <v>30</v>
      </c>
      <c r="D5" s="79"/>
      <c r="E5" s="80">
        <f t="shared" si="0"/>
        <v>10671.359999999999</v>
      </c>
      <c r="F5" s="80"/>
      <c r="G5" s="80">
        <f>19275-10000</f>
        <v>9275</v>
      </c>
      <c r="H5" s="80">
        <v>11584</v>
      </c>
      <c r="I5" s="80">
        <v>11170</v>
      </c>
      <c r="J5" s="80">
        <v>38969</v>
      </c>
      <c r="K5" s="80">
        <v>1093</v>
      </c>
      <c r="L5" s="80"/>
      <c r="M5" s="81">
        <f t="shared" si="1"/>
        <v>11693.3</v>
      </c>
      <c r="N5" s="81">
        <f t="shared" si="2"/>
        <v>15066.9</v>
      </c>
      <c r="O5" s="81">
        <f>SUM(M5*'Factors &amp; Percentages'!$E$6+N5*'Factors &amp; Percentages'!$E$7)</f>
        <v>1824.8577192537336</v>
      </c>
      <c r="P5" s="82">
        <v>0.06</v>
      </c>
      <c r="Q5" s="81">
        <f>P5*'Factors &amp; Percentages'!$E$10</f>
        <v>657.93454747012458</v>
      </c>
      <c r="R5" s="83">
        <v>8460</v>
      </c>
      <c r="S5" s="81">
        <f>R5*'Factors &amp; Percentages'!$E$13</f>
        <v>15022.2572236737</v>
      </c>
      <c r="T5" s="84">
        <v>15</v>
      </c>
      <c r="U5" s="84">
        <v>19</v>
      </c>
      <c r="V5" s="84">
        <v>458</v>
      </c>
      <c r="W5" s="81">
        <f>T5*'Factors &amp; Percentages'!$E$16+U5*'Factors &amp; Percentages'!$E$17+V5*'Factors &amp; Percentages'!$E$18</f>
        <v>2138.0874646870175</v>
      </c>
      <c r="X5" s="113"/>
      <c r="Y5" s="81">
        <f t="shared" si="3"/>
        <v>19643.136955084574</v>
      </c>
      <c r="Z5" s="85">
        <f t="shared" si="4"/>
        <v>19643.136955084574</v>
      </c>
      <c r="AA5" s="80">
        <f>IF($AE5&gt;$Z5,$AE5*(1+'Factors &amp; Percentages'!$B$3),IF($Y5&gt;$Z5,$Z5,IF($Y5&gt;$AE5,$Y5,$AE5*(1+'Factors &amp; Percentages'!$B$3))))</f>
        <v>19643.136955084574</v>
      </c>
      <c r="AB5" s="80">
        <f t="shared" si="5"/>
        <v>10671.359999999999</v>
      </c>
      <c r="AC5" s="85"/>
      <c r="AD5" s="80">
        <f t="shared" si="6"/>
        <v>10671.359999999999</v>
      </c>
      <c r="AE5" s="86">
        <v>6704</v>
      </c>
      <c r="AF5" s="87"/>
      <c r="AG5" s="88"/>
      <c r="AH5" s="88"/>
      <c r="AI5" s="88"/>
      <c r="AJ5" s="5"/>
    </row>
    <row r="6" spans="1:36" x14ac:dyDescent="0.3">
      <c r="A6" s="91" t="s">
        <v>34</v>
      </c>
      <c r="B6" s="76" t="s">
        <v>8</v>
      </c>
      <c r="C6" s="76" t="s">
        <v>30</v>
      </c>
      <c r="D6" s="31"/>
      <c r="E6" s="43">
        <f t="shared" ref="E6:E11" si="7">+AB6</f>
        <v>9724.4717894880559</v>
      </c>
      <c r="F6" s="29"/>
      <c r="G6" s="51">
        <v>12329</v>
      </c>
      <c r="H6" s="59">
        <v>15557</v>
      </c>
      <c r="I6" s="51">
        <v>7963</v>
      </c>
      <c r="J6" s="59">
        <v>0</v>
      </c>
      <c r="K6" s="49">
        <v>0</v>
      </c>
      <c r="L6" s="29"/>
      <c r="M6" s="62">
        <f t="shared" ref="M6:M11" si="8">H6+K6*0.1</f>
        <v>15557</v>
      </c>
      <c r="N6" s="58">
        <f t="shared" ref="N6:N11" si="9">I6+0.1*J6</f>
        <v>7963</v>
      </c>
      <c r="O6" s="46">
        <f>SUM(M6*'Factors &amp; Percentages'!$E$6+N6*'Factors &amp; Percentages'!$E$7)</f>
        <v>1720.3964305305362</v>
      </c>
      <c r="P6" s="65">
        <v>0.33</v>
      </c>
      <c r="Q6" s="46">
        <f>P6*'Factors &amp; Percentages'!$E$10</f>
        <v>3618.6400110856853</v>
      </c>
      <c r="R6" s="69">
        <v>798</v>
      </c>
      <c r="S6" s="46">
        <f>R6*'Factors &amp; Percentages'!$E$13</f>
        <v>1416.9930572685121</v>
      </c>
      <c r="T6" s="63">
        <v>17</v>
      </c>
      <c r="U6" s="64">
        <v>36</v>
      </c>
      <c r="V6" s="63">
        <v>2167</v>
      </c>
      <c r="W6" s="46">
        <f>T6*'Factors &amp; Percentages'!$E$16+U6*'Factors &amp; Percentages'!$E$17+V6*'Factors &amp; Percentages'!$E$18</f>
        <v>2968.4422906033228</v>
      </c>
      <c r="X6" s="114"/>
      <c r="Y6" s="58">
        <f t="shared" ref="Y6:Y11" si="10">O6+Q6+S6+W6</f>
        <v>9724.4717894880559</v>
      </c>
      <c r="Z6" s="71">
        <f t="shared" ref="Z6:Z11" si="11">IF($I6&gt;($H6+$G6)/2,$Y6,MIN(Y6,$H6*0.65))</f>
        <v>9724.4717894880559</v>
      </c>
      <c r="AA6" s="51">
        <f>IF($AE6&gt;$Z6,$AE6*(1+'Factors &amp; Percentages'!$B$3),IF($Y6&gt;$Z6,$Z6,IF($Y6&gt;$AE6,$Y6,$AE6*(1+'Factors &amp; Percentages'!$B$3))))</f>
        <v>9724.4717894880559</v>
      </c>
      <c r="AB6" s="59">
        <f t="shared" ref="AB6:AB11" si="12">MIN(AA6,+P6*2*88928)</f>
        <v>9724.4717894880559</v>
      </c>
      <c r="AC6" s="42"/>
      <c r="AD6" s="43">
        <f t="shared" ref="AD6:AD11" si="13">AB6</f>
        <v>9724.4717894880559</v>
      </c>
      <c r="AE6" s="75">
        <v>2000</v>
      </c>
      <c r="AF6" s="32"/>
      <c r="AG6" s="33"/>
      <c r="AH6" s="33"/>
      <c r="AI6" s="33"/>
      <c r="AJ6" s="5"/>
    </row>
    <row r="7" spans="1:36" s="89" customFormat="1" x14ac:dyDescent="0.3">
      <c r="A7" s="90" t="s">
        <v>35</v>
      </c>
      <c r="B7" s="78" t="s">
        <v>8</v>
      </c>
      <c r="C7" s="78" t="s">
        <v>30</v>
      </c>
      <c r="D7" s="79"/>
      <c r="E7" s="80">
        <f t="shared" si="7"/>
        <v>10671.359999999999</v>
      </c>
      <c r="F7" s="80"/>
      <c r="G7" s="80">
        <v>3836</v>
      </c>
      <c r="H7" s="80">
        <v>7281</v>
      </c>
      <c r="I7" s="80">
        <v>13150</v>
      </c>
      <c r="J7" s="80">
        <v>22970</v>
      </c>
      <c r="K7" s="80">
        <v>365</v>
      </c>
      <c r="L7" s="80"/>
      <c r="M7" s="81">
        <f t="shared" si="8"/>
        <v>7317.5</v>
      </c>
      <c r="N7" s="81">
        <f t="shared" si="9"/>
        <v>15447</v>
      </c>
      <c r="O7" s="81">
        <f>SUM(M7*'Factors &amp; Percentages'!$E$6+N7*'Factors &amp; Percentages'!$E$7)</f>
        <v>1494.3501073935563</v>
      </c>
      <c r="P7" s="82">
        <v>0.06</v>
      </c>
      <c r="Q7" s="81">
        <f>P7*'Factors &amp; Percentages'!$E$10</f>
        <v>657.93454747012458</v>
      </c>
      <c r="R7" s="83">
        <v>3198</v>
      </c>
      <c r="S7" s="81">
        <f>R7*'Factors &amp; Percentages'!$E$13</f>
        <v>5678.6263122114051</v>
      </c>
      <c r="T7" s="84">
        <v>25</v>
      </c>
      <c r="U7" s="84">
        <v>12</v>
      </c>
      <c r="V7" s="84">
        <v>148</v>
      </c>
      <c r="W7" s="81">
        <f>T7*'Factors &amp; Percentages'!$E$16+U7*'Factors &amp; Percentages'!$E$17+V7*'Factors &amp; Percentages'!$E$18</f>
        <v>3103.940352780397</v>
      </c>
      <c r="X7" s="113"/>
      <c r="Y7" s="81">
        <f t="shared" si="10"/>
        <v>10934.851319855483</v>
      </c>
      <c r="Z7" s="85">
        <f t="shared" si="11"/>
        <v>10934.851319855483</v>
      </c>
      <c r="AA7" s="80">
        <f>IF($AE7&gt;$Z7,$AE7*(1+'Factors &amp; Percentages'!$B$3),IF($Y7&gt;$Z7,$Z7,IF($Y7&gt;$AE7,$Y7,$AE7*(1+'Factors &amp; Percentages'!$B$3))))</f>
        <v>10934.851319855483</v>
      </c>
      <c r="AB7" s="80">
        <f t="shared" si="12"/>
        <v>10671.359999999999</v>
      </c>
      <c r="AC7" s="85"/>
      <c r="AD7" s="80">
        <f t="shared" si="13"/>
        <v>10671.359999999999</v>
      </c>
      <c r="AE7" s="86">
        <v>1540</v>
      </c>
      <c r="AF7" s="87"/>
      <c r="AG7" s="88"/>
      <c r="AH7" s="88"/>
      <c r="AI7" s="88"/>
      <c r="AJ7" s="5"/>
    </row>
    <row r="8" spans="1:36" x14ac:dyDescent="0.3">
      <c r="A8" s="91" t="s">
        <v>36</v>
      </c>
      <c r="B8" s="76" t="s">
        <v>8</v>
      </c>
      <c r="C8" s="76" t="s">
        <v>30</v>
      </c>
      <c r="D8" s="31"/>
      <c r="E8" s="43">
        <f t="shared" si="7"/>
        <v>29664.946437684604</v>
      </c>
      <c r="F8" s="29"/>
      <c r="G8" s="51">
        <v>20543</v>
      </c>
      <c r="H8" s="59">
        <v>53818</v>
      </c>
      <c r="I8" s="51">
        <v>24033</v>
      </c>
      <c r="J8" s="59">
        <v>44497</v>
      </c>
      <c r="K8" s="49">
        <v>4046</v>
      </c>
      <c r="L8" s="29"/>
      <c r="M8" s="62">
        <f t="shared" si="8"/>
        <v>54222.6</v>
      </c>
      <c r="N8" s="58">
        <f t="shared" si="9"/>
        <v>28482.7</v>
      </c>
      <c r="O8" s="46">
        <f>SUM(M8*'Factors &amp; Percentages'!$E$6+N8*'Factors &amp; Percentages'!$E$7)</f>
        <v>6038.9404707826097</v>
      </c>
      <c r="P8" s="65">
        <v>0.3</v>
      </c>
      <c r="Q8" s="46">
        <f>P8*'Factors &amp; Percentages'!$E$10</f>
        <v>3289.6727373506228</v>
      </c>
      <c r="R8" s="69">
        <v>8946</v>
      </c>
      <c r="S8" s="46">
        <f>R8*'Factors &amp; Percentages'!$E$13</f>
        <v>15885.237957799634</v>
      </c>
      <c r="T8" s="63">
        <v>26</v>
      </c>
      <c r="U8" s="64">
        <v>69</v>
      </c>
      <c r="V8" s="63">
        <v>1359</v>
      </c>
      <c r="W8" s="46">
        <f>T8*'Factors &amp; Percentages'!$E$16+U8*'Factors &amp; Percentages'!$E$17+V8*'Factors &amp; Percentages'!$E$18</f>
        <v>4451.0952717517393</v>
      </c>
      <c r="X8" s="114"/>
      <c r="Y8" s="58">
        <f t="shared" si="10"/>
        <v>29664.946437684604</v>
      </c>
      <c r="Z8" s="71">
        <f t="shared" si="11"/>
        <v>29664.946437684604</v>
      </c>
      <c r="AA8" s="51">
        <f>IF($AE8&gt;$Z8,$AE8*(1+'Factors &amp; Percentages'!$B$3),IF($Y8&gt;$Z8,$Z8,IF($Y8&gt;$AE8,$Y8,$AE8*(1+'Factors &amp; Percentages'!$B$3))))</f>
        <v>29664.946437684604</v>
      </c>
      <c r="AB8" s="59">
        <f t="shared" si="12"/>
        <v>29664.946437684604</v>
      </c>
      <c r="AC8" s="42"/>
      <c r="AD8" s="43">
        <f t="shared" si="13"/>
        <v>29664.946437684604</v>
      </c>
      <c r="AE8" s="75">
        <v>19000</v>
      </c>
      <c r="AF8" s="32"/>
      <c r="AG8" s="33"/>
      <c r="AH8" s="33"/>
      <c r="AI8" s="33"/>
      <c r="AJ8" s="5"/>
    </row>
    <row r="9" spans="1:36" s="89" customFormat="1" x14ac:dyDescent="0.3">
      <c r="A9" s="90" t="s">
        <v>37</v>
      </c>
      <c r="B9" s="78" t="s">
        <v>8</v>
      </c>
      <c r="C9" s="78" t="s">
        <v>30</v>
      </c>
      <c r="D9" s="79"/>
      <c r="E9" s="80">
        <f t="shared" si="7"/>
        <v>26459.235078108646</v>
      </c>
      <c r="F9" s="80"/>
      <c r="G9" s="80">
        <v>11485</v>
      </c>
      <c r="H9" s="80">
        <v>12227</v>
      </c>
      <c r="I9" s="80">
        <v>40058</v>
      </c>
      <c r="J9" s="80">
        <v>184</v>
      </c>
      <c r="K9" s="80">
        <v>0</v>
      </c>
      <c r="L9" s="80"/>
      <c r="M9" s="81">
        <f t="shared" si="8"/>
        <v>12227</v>
      </c>
      <c r="N9" s="81">
        <f t="shared" si="9"/>
        <v>40076.400000000001</v>
      </c>
      <c r="O9" s="81">
        <f>SUM(M9*'Factors &amp; Percentages'!$E$6+N9*'Factors &amp; Percentages'!$E$7)</f>
        <v>3332.2135321269516</v>
      </c>
      <c r="P9" s="82">
        <v>0.5</v>
      </c>
      <c r="Q9" s="81">
        <f>P9*'Factors &amp; Percentages'!$E$10</f>
        <v>5482.7878955843717</v>
      </c>
      <c r="R9" s="83">
        <v>8275</v>
      </c>
      <c r="S9" s="81">
        <f>R9*'Factors &amp; Percentages'!$E$13</f>
        <v>14693.756326938517</v>
      </c>
      <c r="T9" s="84">
        <v>18</v>
      </c>
      <c r="U9" s="84">
        <v>42</v>
      </c>
      <c r="V9" s="84">
        <v>782</v>
      </c>
      <c r="W9" s="81">
        <f>T9*'Factors &amp; Percentages'!$E$16+U9*'Factors &amp; Percentages'!$E$17+V9*'Factors &amp; Percentages'!$E$18</f>
        <v>2950.4773234588074</v>
      </c>
      <c r="X9" s="113"/>
      <c r="Y9" s="81">
        <f t="shared" si="10"/>
        <v>26459.235078108646</v>
      </c>
      <c r="Z9" s="85">
        <f t="shared" si="11"/>
        <v>26459.235078108646</v>
      </c>
      <c r="AA9" s="80">
        <f>IF($AE9&gt;$Z9,$AE9*(1+'Factors &amp; Percentages'!$B$3),IF($Y9&gt;$Z9,$Z9,IF($Y9&gt;$AE9,$Y9,$AE9*(1+'Factors &amp; Percentages'!$B$3))))</f>
        <v>26459.235078108646</v>
      </c>
      <c r="AB9" s="80">
        <f t="shared" si="12"/>
        <v>26459.235078108646</v>
      </c>
      <c r="AC9" s="85"/>
      <c r="AD9" s="80">
        <f t="shared" si="13"/>
        <v>26459.235078108646</v>
      </c>
      <c r="AE9" s="86">
        <v>7500</v>
      </c>
      <c r="AF9" s="87"/>
      <c r="AG9" s="88"/>
      <c r="AH9" s="88"/>
      <c r="AI9" s="88"/>
      <c r="AJ9" s="5"/>
    </row>
    <row r="10" spans="1:36" x14ac:dyDescent="0.3">
      <c r="A10" s="91" t="s">
        <v>38</v>
      </c>
      <c r="B10" s="76" t="s">
        <v>8</v>
      </c>
      <c r="C10" s="76" t="s">
        <v>30</v>
      </c>
      <c r="D10" s="31"/>
      <c r="E10" s="43">
        <f t="shared" si="7"/>
        <v>18622.47194162463</v>
      </c>
      <c r="F10" s="29"/>
      <c r="G10" s="51">
        <v>13468</v>
      </c>
      <c r="H10" s="59">
        <v>20289</v>
      </c>
      <c r="I10" s="51">
        <v>37623</v>
      </c>
      <c r="J10" s="59">
        <v>0</v>
      </c>
      <c r="K10" s="49">
        <v>370</v>
      </c>
      <c r="L10" s="29"/>
      <c r="M10" s="62">
        <f t="shared" si="8"/>
        <v>20326</v>
      </c>
      <c r="N10" s="58">
        <f t="shared" si="9"/>
        <v>37623</v>
      </c>
      <c r="O10" s="46">
        <f>SUM(M10*'Factors &amp; Percentages'!$E$6+N10*'Factors &amp; Percentages'!$E$7)</f>
        <v>3841.4797420128525</v>
      </c>
      <c r="P10" s="65">
        <v>0.33</v>
      </c>
      <c r="Q10" s="46">
        <f>P10*'Factors &amp; Percentages'!$E$10</f>
        <v>3618.6400110856853</v>
      </c>
      <c r="R10" s="69">
        <v>4659</v>
      </c>
      <c r="S10" s="46">
        <f>R10*'Factors &amp; Percentages'!$E$13</f>
        <v>8272.8955561578914</v>
      </c>
      <c r="T10" s="63">
        <v>17</v>
      </c>
      <c r="U10" s="64">
        <v>39</v>
      </c>
      <c r="V10" s="63">
        <v>1401</v>
      </c>
      <c r="W10" s="46">
        <f>T10*'Factors &amp; Percentages'!$E$16+U10*'Factors &amp; Percentages'!$E$17+V10*'Factors &amp; Percentages'!$E$18</f>
        <v>2889.4566323682029</v>
      </c>
      <c r="X10" s="114"/>
      <c r="Y10" s="58">
        <f t="shared" si="10"/>
        <v>18622.47194162463</v>
      </c>
      <c r="Z10" s="71">
        <f t="shared" si="11"/>
        <v>18622.47194162463</v>
      </c>
      <c r="AA10" s="51">
        <f>IF($AE10&gt;$Z10,$AE10*(1+'Factors &amp; Percentages'!$B$3),IF($Y10&gt;$Z10,$Z10,IF($Y10&gt;$AE10,$Y10,$AE10*(1+'Factors &amp; Percentages'!$B$3))))</f>
        <v>18622.47194162463</v>
      </c>
      <c r="AB10" s="59">
        <f t="shared" si="12"/>
        <v>18622.47194162463</v>
      </c>
      <c r="AC10" s="42"/>
      <c r="AD10" s="43">
        <f t="shared" si="13"/>
        <v>18622.47194162463</v>
      </c>
      <c r="AE10" s="75">
        <v>8000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39</v>
      </c>
      <c r="B11" s="78" t="s">
        <v>8</v>
      </c>
      <c r="C11" s="78" t="s">
        <v>30</v>
      </c>
      <c r="D11" s="79"/>
      <c r="E11" s="80">
        <f t="shared" si="7"/>
        <v>10671.359999999999</v>
      </c>
      <c r="F11" s="80"/>
      <c r="G11" s="80">
        <f>17018-1724</f>
        <v>15294</v>
      </c>
      <c r="H11" s="80">
        <v>7791</v>
      </c>
      <c r="I11" s="80">
        <v>25823</v>
      </c>
      <c r="J11" s="80">
        <v>19616</v>
      </c>
      <c r="K11" s="80">
        <v>25</v>
      </c>
      <c r="L11" s="80"/>
      <c r="M11" s="81">
        <f t="shared" si="8"/>
        <v>7793.5</v>
      </c>
      <c r="N11" s="81">
        <f t="shared" si="9"/>
        <v>27784.6</v>
      </c>
      <c r="O11" s="81">
        <f>SUM(M11*'Factors &amp; Percentages'!$E$6+N11*'Factors &amp; Percentages'!$E$7)</f>
        <v>2255.1022144065496</v>
      </c>
      <c r="P11" s="82">
        <v>0.06</v>
      </c>
      <c r="Q11" s="81">
        <f>P11*'Factors &amp; Percentages'!$E$10</f>
        <v>657.93454747012458</v>
      </c>
      <c r="R11" s="83">
        <v>3276</v>
      </c>
      <c r="S11" s="81">
        <f>R11*'Factors &amp; Percentages'!$E$13</f>
        <v>5817.1293929970498</v>
      </c>
      <c r="T11" s="84">
        <v>16</v>
      </c>
      <c r="U11" s="84">
        <v>31</v>
      </c>
      <c r="V11" s="84">
        <v>1273</v>
      </c>
      <c r="W11" s="81">
        <f>T11*'Factors &amp; Percentages'!$E$16+U11*'Factors &amp; Percentages'!$E$17+V11*'Factors &amp; Percentages'!$E$18</f>
        <v>2609.2118492790314</v>
      </c>
      <c r="X11" s="113"/>
      <c r="Y11" s="81">
        <f t="shared" si="10"/>
        <v>11339.378004152757</v>
      </c>
      <c r="Z11" s="85">
        <f t="shared" si="11"/>
        <v>11339.378004152757</v>
      </c>
      <c r="AA11" s="80">
        <f>IF($AE11&gt;$Z11,$AE11*(1+'Factors &amp; Percentages'!$B$3),IF($Y11&gt;$Z11,$Z11,IF($Y11&gt;$AE11,$Y11,$AE11*(1+'Factors &amp; Percentages'!$B$3))))</f>
        <v>11339.378004152757</v>
      </c>
      <c r="AB11" s="80">
        <f t="shared" si="12"/>
        <v>10671.359999999999</v>
      </c>
      <c r="AC11" s="85"/>
      <c r="AD11" s="80">
        <f t="shared" si="13"/>
        <v>10671.359999999999</v>
      </c>
      <c r="AE11" s="86">
        <v>2500</v>
      </c>
      <c r="AF11" s="87"/>
      <c r="AG11" s="88"/>
      <c r="AH11" s="88"/>
      <c r="AI11" s="88"/>
      <c r="AJ11" s="5"/>
    </row>
    <row r="12" spans="1:36" x14ac:dyDescent="0.3">
      <c r="A12" s="91" t="s">
        <v>40</v>
      </c>
      <c r="B12" s="76" t="s">
        <v>8</v>
      </c>
      <c r="C12" s="76" t="s">
        <v>30</v>
      </c>
      <c r="D12" s="31"/>
      <c r="E12" s="43">
        <f t="shared" ref="E12" si="14">+AB12</f>
        <v>30546.659658777309</v>
      </c>
      <c r="F12" s="29"/>
      <c r="G12" s="51">
        <v>27176</v>
      </c>
      <c r="H12" s="59">
        <v>22123</v>
      </c>
      <c r="I12" s="51">
        <v>72194</v>
      </c>
      <c r="J12" s="59">
        <v>91936</v>
      </c>
      <c r="K12" s="49">
        <v>0</v>
      </c>
      <c r="L12" s="29"/>
      <c r="M12" s="62">
        <f t="shared" ref="M12" si="15">H12+K12*0.1</f>
        <v>22123</v>
      </c>
      <c r="N12" s="58">
        <f t="shared" ref="N12" si="16">I12+0.1*J12</f>
        <v>81387.600000000006</v>
      </c>
      <c r="O12" s="46">
        <f>SUM(M12*'Factors &amp; Percentages'!$E$6+N12*'Factors &amp; Percentages'!$E$7)</f>
        <v>6548.8081319788998</v>
      </c>
      <c r="P12" s="65">
        <v>0.5</v>
      </c>
      <c r="Q12" s="46">
        <f>P12*'Factors &amp; Percentages'!$E$10</f>
        <v>5482.7878955843717</v>
      </c>
      <c r="R12" s="69">
        <v>5925</v>
      </c>
      <c r="S12" s="46">
        <f>R12*'Factors &amp; Percentages'!$E$13</f>
        <v>10520.907098140267</v>
      </c>
      <c r="T12" s="63">
        <v>60</v>
      </c>
      <c r="U12" s="64">
        <v>48</v>
      </c>
      <c r="V12" s="63">
        <v>1510</v>
      </c>
      <c r="W12" s="46">
        <f>T12*'Factors &amp; Percentages'!$E$16+U12*'Factors &amp; Percentages'!$E$17+V12*'Factors &amp; Percentages'!$E$18</f>
        <v>7994.1565330737712</v>
      </c>
      <c r="X12" s="114"/>
      <c r="Y12" s="58">
        <f t="shared" ref="Y12" si="17">O12+Q12+S12+W12</f>
        <v>30546.659658777309</v>
      </c>
      <c r="Z12" s="71">
        <f t="shared" ref="Z12" si="18">IF($I12&gt;($H12+$G12)/2,$Y12,MIN(Y12,$H12*0.65))</f>
        <v>30546.659658777309</v>
      </c>
      <c r="AA12" s="51">
        <f>IF($AE12&gt;$Z12,$AE12*(1+'Factors &amp; Percentages'!$B$3),IF($Y12&gt;$Z12,$Z12,IF($Y12&gt;$AE12,$Y12,$AE12*(1+'Factors &amp; Percentages'!$B$3))))</f>
        <v>30546.659658777309</v>
      </c>
      <c r="AB12" s="59">
        <f t="shared" ref="AB12" si="19">MIN(AA12,+P12*2*88928)</f>
        <v>30546.659658777309</v>
      </c>
      <c r="AC12" s="42"/>
      <c r="AD12" s="43">
        <f t="shared" ref="AD12" si="20">AB12</f>
        <v>30546.659658777309</v>
      </c>
      <c r="AE12" s="75">
        <v>10500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41</v>
      </c>
      <c r="B13" s="78" t="s">
        <v>8</v>
      </c>
      <c r="C13" s="78" t="s">
        <v>30</v>
      </c>
      <c r="D13" s="79"/>
      <c r="E13" s="80">
        <f t="shared" ref="E13" si="21">+AB13</f>
        <v>10217.550000000001</v>
      </c>
      <c r="F13" s="80"/>
      <c r="G13" s="80">
        <v>19331</v>
      </c>
      <c r="H13" s="80">
        <v>14937</v>
      </c>
      <c r="I13" s="80">
        <v>7383</v>
      </c>
      <c r="J13" s="80">
        <v>4003</v>
      </c>
      <c r="K13" s="80">
        <v>1185</v>
      </c>
      <c r="L13" s="80"/>
      <c r="M13" s="81">
        <f t="shared" ref="M13" si="22">H13+K13*0.1</f>
        <v>15055.5</v>
      </c>
      <c r="N13" s="81">
        <f t="shared" ref="N13" si="23">I13+0.1*J13</f>
        <v>7783.3</v>
      </c>
      <c r="O13" s="81">
        <f>SUM(M13*'Factors &amp; Percentages'!$E$6+N13*'Factors &amp; Percentages'!$E$7)</f>
        <v>1669.4455126747816</v>
      </c>
      <c r="P13" s="82">
        <v>0.2</v>
      </c>
      <c r="Q13" s="81">
        <f>P13*'Factors &amp; Percentages'!$E$10</f>
        <v>2193.1151582337488</v>
      </c>
      <c r="R13" s="83">
        <v>8967</v>
      </c>
      <c r="S13" s="81">
        <f>R13*'Factors &amp; Percentages'!$E$13</f>
        <v>15922.527248780385</v>
      </c>
      <c r="T13" s="84">
        <v>19</v>
      </c>
      <c r="U13" s="84">
        <v>36</v>
      </c>
      <c r="V13" s="84">
        <v>408</v>
      </c>
      <c r="W13" s="81">
        <f>T13*'Factors &amp; Percentages'!$E$16+U13*'Factors &amp; Percentages'!$E$17+V13*'Factors &amp; Percentages'!$E$18</f>
        <v>2892.5022690434903</v>
      </c>
      <c r="X13" s="113"/>
      <c r="Y13" s="81">
        <f t="shared" ref="Y13" si="24">O13+Q13+S13+W13</f>
        <v>22677.590188732403</v>
      </c>
      <c r="Z13" s="85">
        <f t="shared" ref="Z13" si="25">IF($I13&gt;($H13+$G13)/2,$Y13,MIN(Y13,$H13*0.65))</f>
        <v>9709.0500000000011</v>
      </c>
      <c r="AA13" s="80">
        <f>IF($AE13&gt;$Z13,$AE13*(1+'Factors &amp; Percentages'!$B$3),IF($Y13&gt;$Z13,$Z13,IF($Y13&gt;$AE13,$Y13,$AE13*(1+'Factors &amp; Percentages'!$B$3))))</f>
        <v>10217.550000000001</v>
      </c>
      <c r="AB13" s="80">
        <f t="shared" ref="AB13" si="26">MIN(AA13,+P13*2*88928)</f>
        <v>10217.550000000001</v>
      </c>
      <c r="AC13" s="85"/>
      <c r="AD13" s="80">
        <f t="shared" ref="AD13" si="27">AB13</f>
        <v>10217.550000000001</v>
      </c>
      <c r="AE13" s="86">
        <v>9731</v>
      </c>
      <c r="AF13" s="87"/>
      <c r="AG13" s="88"/>
      <c r="AH13" s="88"/>
      <c r="AI13" s="88"/>
      <c r="AJ13" s="5"/>
    </row>
    <row r="14" spans="1:36" s="89" customFormat="1" x14ac:dyDescent="0.3">
      <c r="A14" s="90"/>
      <c r="B14" s="78"/>
      <c r="C14" s="78"/>
      <c r="D14" s="79"/>
      <c r="E14" s="80"/>
      <c r="F14" s="80"/>
      <c r="G14" s="80"/>
      <c r="H14" s="80"/>
      <c r="I14" s="80"/>
      <c r="J14" s="80"/>
      <c r="K14" s="80"/>
      <c r="L14" s="80"/>
      <c r="M14" s="81"/>
      <c r="N14" s="81"/>
      <c r="O14" s="81"/>
      <c r="P14" s="82"/>
      <c r="Q14" s="81"/>
      <c r="R14" s="83"/>
      <c r="S14" s="81"/>
      <c r="T14" s="84"/>
      <c r="U14" s="84"/>
      <c r="V14" s="84"/>
      <c r="W14" s="81"/>
      <c r="X14" s="113"/>
      <c r="Y14" s="81"/>
      <c r="Z14" s="85"/>
      <c r="AA14" s="80"/>
      <c r="AB14" s="80"/>
      <c r="AC14" s="85"/>
      <c r="AD14" s="80"/>
      <c r="AE14" s="86"/>
      <c r="AF14" s="87"/>
      <c r="AG14" s="88"/>
      <c r="AH14" s="88"/>
      <c r="AI14" s="88"/>
      <c r="AJ14" s="5"/>
    </row>
    <row r="15" spans="1:36" ht="15" thickBot="1" x14ac:dyDescent="0.35">
      <c r="E15" s="44">
        <f>SUM(E3:E13)</f>
        <v>243154.06218557915</v>
      </c>
      <c r="F15" s="41"/>
      <c r="G15" s="52">
        <f>SUM(G3:G14)</f>
        <v>247892</v>
      </c>
      <c r="H15" s="60">
        <f>SUM(H3:H14)</f>
        <v>276932</v>
      </c>
      <c r="I15" s="52">
        <f>SUM(I3:I14)</f>
        <v>324432</v>
      </c>
      <c r="J15" s="60">
        <f>SUM(J3:J14)</f>
        <v>270862</v>
      </c>
      <c r="K15" s="50">
        <f>SUM(K3:K14)</f>
        <v>19742</v>
      </c>
      <c r="L15" s="41"/>
      <c r="M15" s="60">
        <f t="shared" ref="M15:W15" si="28">SUM(M3:M14)</f>
        <v>278906.2</v>
      </c>
      <c r="N15" s="52">
        <f t="shared" si="28"/>
        <v>351518.2</v>
      </c>
      <c r="O15" s="47">
        <f t="shared" si="28"/>
        <v>43066.249289346175</v>
      </c>
      <c r="P15" s="67">
        <f t="shared" si="28"/>
        <v>3.6700000000000004</v>
      </c>
      <c r="Q15" s="47">
        <f t="shared" si="28"/>
        <v>40243.663153589288</v>
      </c>
      <c r="R15" s="67">
        <f t="shared" si="28"/>
        <v>60415</v>
      </c>
      <c r="S15" s="47">
        <f t="shared" si="28"/>
        <v>107277.73879057288</v>
      </c>
      <c r="T15" s="67">
        <f t="shared" si="28"/>
        <v>312</v>
      </c>
      <c r="U15" s="68">
        <f t="shared" si="28"/>
        <v>500</v>
      </c>
      <c r="V15" s="67">
        <f t="shared" si="28"/>
        <v>17989</v>
      </c>
      <c r="W15" s="47">
        <f t="shared" si="28"/>
        <v>47819.757809710551</v>
      </c>
      <c r="X15" s="115"/>
      <c r="Y15" s="52">
        <f>SUM(Y3:Y14)</f>
        <v>238407.40904321885</v>
      </c>
      <c r="Z15" s="60">
        <f>SUM(Z3:Z14)</f>
        <v>225438.86885448644</v>
      </c>
      <c r="AA15" s="56">
        <f>SUM(AA3:AA13)</f>
        <v>253057.34846467199</v>
      </c>
      <c r="AB15" s="74">
        <f>SUM(AB3:AB13)</f>
        <v>243154.06218557915</v>
      </c>
      <c r="AC15" s="29"/>
      <c r="AD15" s="44">
        <f>SUM(AD3:AD13)</f>
        <v>243154.06218557915</v>
      </c>
      <c r="AE15" s="56">
        <f>SUM(AE3:AE13)</f>
        <v>147681</v>
      </c>
      <c r="AF15" s="36"/>
      <c r="AG15" s="37"/>
      <c r="AH15" s="37"/>
      <c r="AI15" s="37"/>
      <c r="AJ15" s="6"/>
    </row>
    <row r="16" spans="1:36" ht="15" hidden="1" thickTop="1" x14ac:dyDescent="0.3"/>
  </sheetData>
  <sheetProtection algorithmName="SHA-512" hashValue="g2li+tAHHthIyYeVqkUJ2mNYQk1c030vWm/ReXR9uWhKuq5VswLr4ctExhVethZV5uDXSfsQUbCwxUVkhn9ZqA==" saltValue="A8nhpAFA3NbUkslLeZeukg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B481-E306-4FB3-A6A9-0E819B7A7BA0}">
  <dimension ref="A1:AV24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21" sqref="A21:XFD2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6</v>
      </c>
      <c r="B3" s="78" t="s">
        <v>8</v>
      </c>
      <c r="C3" s="78" t="s">
        <v>8</v>
      </c>
      <c r="D3" s="79"/>
      <c r="E3" s="80">
        <f t="shared" ref="E3:E9" si="0">+AB3</f>
        <v>30376.287153295452</v>
      </c>
      <c r="F3" s="80"/>
      <c r="G3" s="80">
        <f>57454-1500</f>
        <v>55954</v>
      </c>
      <c r="H3" s="80">
        <v>70841</v>
      </c>
      <c r="I3" s="80">
        <v>18872</v>
      </c>
      <c r="J3" s="80">
        <v>140867</v>
      </c>
      <c r="K3" s="80">
        <v>8930</v>
      </c>
      <c r="L3" s="80"/>
      <c r="M3" s="81">
        <f t="shared" ref="M3:M9" si="1">H3+K3*0.1</f>
        <v>71734</v>
      </c>
      <c r="N3" s="81">
        <f t="shared" ref="N3:N9" si="2">I3+0.1*J3</f>
        <v>32958.699999999997</v>
      </c>
      <c r="O3" s="81">
        <f>SUM(M3*'Factors &amp; Percentages'!$E$6+N3*'Factors &amp; Percentages'!$E$7)</f>
        <v>7712.7270509113696</v>
      </c>
      <c r="P3" s="82">
        <v>1</v>
      </c>
      <c r="Q3" s="81">
        <f>P3*'Factors &amp; Percentages'!$E$10</f>
        <v>10965.575791168743</v>
      </c>
      <c r="R3" s="83">
        <v>1192</v>
      </c>
      <c r="S3" s="81">
        <f>R3*'Factors &amp; Percentages'!$E$13</f>
        <v>2116.6111832883039</v>
      </c>
      <c r="T3" s="84">
        <v>55</v>
      </c>
      <c r="U3" s="84">
        <v>125</v>
      </c>
      <c r="V3" s="84">
        <v>5999</v>
      </c>
      <c r="W3" s="81">
        <f>T3*'Factors &amp; Percentages'!$E$16+U3*'Factors &amp; Percentages'!$E$17+V3*'Factors &amp; Percentages'!$E$18</f>
        <v>9581.373127927036</v>
      </c>
      <c r="X3" s="113"/>
      <c r="Y3" s="81">
        <f t="shared" ref="Y3:Y9" si="3">O3+Q3+S3+W3</f>
        <v>30376.287153295452</v>
      </c>
      <c r="Z3" s="85">
        <f t="shared" ref="Z3:Z9" si="4">IF($I3&gt;($H3+$G3)/2,$Y3,MIN(Y3,$H3*0.65))</f>
        <v>30376.287153295452</v>
      </c>
      <c r="AA3" s="80">
        <f>IF($AE3&gt;$Z3,$AE3*(1+'Factors &amp; Percentages'!$B$3),IF($Y3&gt;$Z3,$Z3,IF($Y3&gt;$AE3,$Y3,$AE3*(1+'Factors &amp; Percentages'!$B$3))))</f>
        <v>30376.287153295452</v>
      </c>
      <c r="AB3" s="80">
        <f t="shared" ref="AB3:AB9" si="5">MIN(AA3,+P3*2*88928)</f>
        <v>30376.287153295452</v>
      </c>
      <c r="AC3" s="85"/>
      <c r="AD3" s="80">
        <f>AB3</f>
        <v>30376.287153295452</v>
      </c>
      <c r="AE3" s="86">
        <v>30000</v>
      </c>
      <c r="AF3" s="87"/>
      <c r="AG3" s="88"/>
      <c r="AH3" s="88"/>
      <c r="AI3" s="88"/>
      <c r="AJ3" s="5"/>
    </row>
    <row r="4" spans="1:36" x14ac:dyDescent="0.3">
      <c r="A4" s="91" t="s">
        <v>7</v>
      </c>
      <c r="B4" s="76" t="s">
        <v>8</v>
      </c>
      <c r="C4" s="76" t="s">
        <v>8</v>
      </c>
      <c r="D4" s="31"/>
      <c r="E4" s="43">
        <f t="shared" si="0"/>
        <v>39103.050000000003</v>
      </c>
      <c r="F4" s="29"/>
      <c r="G4" s="51">
        <f>79776-19632</f>
        <v>60144</v>
      </c>
      <c r="H4" s="59">
        <v>60845</v>
      </c>
      <c r="I4" s="51">
        <v>106536</v>
      </c>
      <c r="J4" s="59">
        <v>91917</v>
      </c>
      <c r="K4" s="49">
        <v>10852</v>
      </c>
      <c r="L4" s="29"/>
      <c r="M4" s="62">
        <f t="shared" si="1"/>
        <v>61930.2</v>
      </c>
      <c r="N4" s="58">
        <f t="shared" si="2"/>
        <v>115727.7</v>
      </c>
      <c r="O4" s="46">
        <f>SUM(M4*'Factors &amp; Percentages'!$E$6+N4*'Factors &amp; Percentages'!$E$7)</f>
        <v>11768.582185570365</v>
      </c>
      <c r="P4" s="65">
        <v>1</v>
      </c>
      <c r="Q4" s="46">
        <f>P4*'Factors &amp; Percentages'!$E$10</f>
        <v>10965.575791168743</v>
      </c>
      <c r="R4" s="69">
        <v>848</v>
      </c>
      <c r="S4" s="46">
        <f>R4*'Factors &amp; Percentages'!$E$13</f>
        <v>1505.7770834131557</v>
      </c>
      <c r="T4" s="63">
        <v>45</v>
      </c>
      <c r="U4" s="64">
        <v>76</v>
      </c>
      <c r="V4" s="63">
        <f>19488/2</f>
        <v>9744</v>
      </c>
      <c r="W4" s="46">
        <f>T4*'Factors &amp; Percentages'!$E$16+U4*'Factors &amp; Percentages'!$E$17+V4*'Factors &amp; Percentages'!$E$18</f>
        <v>8206.35772182252</v>
      </c>
      <c r="X4" s="114"/>
      <c r="Y4" s="58">
        <f t="shared" si="3"/>
        <v>32446.292781974786</v>
      </c>
      <c r="Z4" s="71">
        <f t="shared" si="4"/>
        <v>32446.292781974786</v>
      </c>
      <c r="AA4" s="51">
        <f>IF($AE4&gt;$Z4,$AE4*(1+'Factors &amp; Percentages'!$B$3),IF($Y4&gt;$Z4,$Z4,IF($Y4&gt;$AE4,$Y4,$AE4*(1+'Factors &amp; Percentages'!$B$3))))</f>
        <v>39103.050000000003</v>
      </c>
      <c r="AB4" s="59">
        <f t="shared" si="5"/>
        <v>39103.050000000003</v>
      </c>
      <c r="AC4" s="42"/>
      <c r="AD4" s="43">
        <f t="shared" ref="AD4:AD9" si="6">AB4</f>
        <v>39103.050000000003</v>
      </c>
      <c r="AE4" s="75">
        <v>37241</v>
      </c>
      <c r="AF4" s="32"/>
      <c r="AG4" s="33"/>
      <c r="AH4" s="33"/>
      <c r="AI4" s="33"/>
      <c r="AJ4" s="5"/>
    </row>
    <row r="5" spans="1:36" s="89" customFormat="1" x14ac:dyDescent="0.3">
      <c r="A5" s="90" t="s">
        <v>239</v>
      </c>
      <c r="B5" s="78" t="s">
        <v>8</v>
      </c>
      <c r="C5" s="78" t="s">
        <v>8</v>
      </c>
      <c r="D5" s="79"/>
      <c r="E5" s="80">
        <f t="shared" si="0"/>
        <v>18586.268455034449</v>
      </c>
      <c r="F5" s="80"/>
      <c r="G5" s="80">
        <v>26899</v>
      </c>
      <c r="H5" s="80">
        <v>29925</v>
      </c>
      <c r="I5" s="80">
        <v>27424</v>
      </c>
      <c r="J5" s="80">
        <v>2000</v>
      </c>
      <c r="K5" s="80">
        <v>0</v>
      </c>
      <c r="L5" s="80"/>
      <c r="M5" s="81">
        <f t="shared" si="1"/>
        <v>29925</v>
      </c>
      <c r="N5" s="81">
        <f t="shared" si="2"/>
        <v>27624</v>
      </c>
      <c r="O5" s="81">
        <f>SUM(M5*'Factors &amp; Percentages'!$E$6+N5*'Factors &amp; Percentages'!$E$7)</f>
        <v>4029.8688506739795</v>
      </c>
      <c r="P5" s="82">
        <v>0.5</v>
      </c>
      <c r="Q5" s="81">
        <f>P5*'Factors &amp; Percentages'!$E$10</f>
        <v>5482.7878955843717</v>
      </c>
      <c r="R5" s="83">
        <v>2417</v>
      </c>
      <c r="S5" s="81">
        <f>R5*'Factors &amp; Percentages'!$E$13</f>
        <v>4291.819823832072</v>
      </c>
      <c r="T5" s="84">
        <v>25</v>
      </c>
      <c r="U5" s="84">
        <v>52</v>
      </c>
      <c r="V5" s="84">
        <v>5686</v>
      </c>
      <c r="W5" s="81">
        <f>T5*'Factors &amp; Percentages'!$E$16+U5*'Factors &amp; Percentages'!$E$17+V5*'Factors &amp; Percentages'!$E$18</f>
        <v>4781.7918849440248</v>
      </c>
      <c r="X5" s="113"/>
      <c r="Y5" s="81">
        <f t="shared" si="3"/>
        <v>18586.268455034449</v>
      </c>
      <c r="Z5" s="85">
        <f t="shared" si="4"/>
        <v>18586.268455034449</v>
      </c>
      <c r="AA5" s="80">
        <f>IF($AE5&gt;$Z5,$AE5*(1+'Factors &amp; Percentages'!$B$3),IF($Y5&gt;$Z5,$Z5,IF($Y5&gt;$AE5,$Y5,$AE5*(1+'Factors &amp; Percentages'!$B$3))))</f>
        <v>18586.268455034449</v>
      </c>
      <c r="AB5" s="80">
        <f t="shared" si="5"/>
        <v>18586.268455034449</v>
      </c>
      <c r="AC5" s="85"/>
      <c r="AD5" s="80">
        <f t="shared" si="6"/>
        <v>18586.268455034449</v>
      </c>
      <c r="AE5" s="86">
        <v>15500</v>
      </c>
      <c r="AF5" s="87"/>
      <c r="AG5" s="88"/>
      <c r="AH5" s="88"/>
      <c r="AI5" s="88"/>
      <c r="AJ5" s="5"/>
    </row>
    <row r="6" spans="1:36" x14ac:dyDescent="0.3">
      <c r="A6" s="91" t="s">
        <v>9</v>
      </c>
      <c r="B6" s="76" t="s">
        <v>8</v>
      </c>
      <c r="C6" s="76" t="s">
        <v>8</v>
      </c>
      <c r="D6" s="31"/>
      <c r="E6" s="43">
        <f t="shared" si="0"/>
        <v>8935.5500000000011</v>
      </c>
      <c r="F6" s="29"/>
      <c r="G6" s="51">
        <v>15475</v>
      </c>
      <c r="H6" s="59">
        <v>13747</v>
      </c>
      <c r="I6" s="51">
        <v>6801</v>
      </c>
      <c r="J6" s="59">
        <v>2667</v>
      </c>
      <c r="K6" s="49">
        <v>0</v>
      </c>
      <c r="L6" s="29"/>
      <c r="M6" s="62">
        <f t="shared" si="1"/>
        <v>13747</v>
      </c>
      <c r="N6" s="58">
        <f t="shared" si="2"/>
        <v>7067.7</v>
      </c>
      <c r="O6" s="46">
        <f>SUM(M6*'Factors &amp; Percentages'!$E$6+N6*'Factors &amp; Percentages'!$E$7)</f>
        <v>1522.0593976011314</v>
      </c>
      <c r="P6" s="65">
        <v>0.25</v>
      </c>
      <c r="Q6" s="46">
        <f>P6*'Factors &amp; Percentages'!$E$10</f>
        <v>2741.3939477921858</v>
      </c>
      <c r="R6" s="69">
        <v>4158</v>
      </c>
      <c r="S6" s="46">
        <f>R6*'Factors &amp; Percentages'!$E$13</f>
        <v>7383.2796141885628</v>
      </c>
      <c r="T6" s="63">
        <v>14</v>
      </c>
      <c r="U6" s="64">
        <v>39</v>
      </c>
      <c r="V6" s="63">
        <v>1390</v>
      </c>
      <c r="W6" s="46">
        <f>T6*'Factors &amp; Percentages'!$E$16+U6*'Factors &amp; Percentages'!$E$17+V6*'Factors &amp; Percentages'!$E$18</f>
        <v>2543.9917342648014</v>
      </c>
      <c r="X6" s="114"/>
      <c r="Y6" s="58">
        <f t="shared" si="3"/>
        <v>14190.724693846681</v>
      </c>
      <c r="Z6" s="71">
        <f t="shared" si="4"/>
        <v>8935.5500000000011</v>
      </c>
      <c r="AA6" s="51">
        <f>IF($AE6&gt;$Z6,$AE6*(1+'Factors &amp; Percentages'!$B$3),IF($Y6&gt;$Z6,$Z6,IF($Y6&gt;$AE6,$Y6,$AE6*(1+'Factors &amp; Percentages'!$B$3))))</f>
        <v>8935.5500000000011</v>
      </c>
      <c r="AB6" s="59">
        <f t="shared" si="5"/>
        <v>8935.5500000000011</v>
      </c>
      <c r="AC6" s="42"/>
      <c r="AD6" s="43">
        <f t="shared" si="6"/>
        <v>8935.5500000000011</v>
      </c>
      <c r="AE6" s="75">
        <v>6000</v>
      </c>
      <c r="AF6" s="32"/>
      <c r="AG6" s="33"/>
      <c r="AH6" s="33"/>
      <c r="AI6" s="33"/>
      <c r="AJ6" s="5"/>
    </row>
    <row r="7" spans="1:36" s="89" customFormat="1" x14ac:dyDescent="0.3">
      <c r="A7" s="90" t="s">
        <v>10</v>
      </c>
      <c r="B7" s="78" t="s">
        <v>8</v>
      </c>
      <c r="C7" s="78" t="s">
        <v>8</v>
      </c>
      <c r="D7" s="79"/>
      <c r="E7" s="80">
        <f t="shared" si="0"/>
        <v>9997.65</v>
      </c>
      <c r="F7" s="80"/>
      <c r="G7" s="80">
        <v>13890</v>
      </c>
      <c r="H7" s="80">
        <v>15381</v>
      </c>
      <c r="I7" s="80">
        <v>10303</v>
      </c>
      <c r="J7" s="80">
        <v>75197</v>
      </c>
      <c r="K7" s="80">
        <v>1289</v>
      </c>
      <c r="L7" s="80"/>
      <c r="M7" s="81">
        <f t="shared" si="1"/>
        <v>15509.9</v>
      </c>
      <c r="N7" s="81">
        <f t="shared" si="2"/>
        <v>17822.7</v>
      </c>
      <c r="O7" s="81">
        <f>SUM(M7*'Factors &amp; Percentages'!$E$6+N7*'Factors &amp; Percentages'!$E$7)</f>
        <v>2293.8944434843838</v>
      </c>
      <c r="P7" s="82">
        <v>1</v>
      </c>
      <c r="Q7" s="81">
        <f>P7*'Factors &amp; Percentages'!$E$10</f>
        <v>10965.575791168743</v>
      </c>
      <c r="R7" s="83">
        <v>374</v>
      </c>
      <c r="S7" s="81">
        <f>R7*'Factors &amp; Percentages'!$E$13</f>
        <v>664.10451556193425</v>
      </c>
      <c r="T7" s="84">
        <v>17</v>
      </c>
      <c r="U7" s="84">
        <v>42</v>
      </c>
      <c r="V7" s="84">
        <v>4160</v>
      </c>
      <c r="W7" s="81">
        <f>T7*'Factors &amp; Percentages'!$E$16+U7*'Factors &amp; Percentages'!$E$17+V7*'Factors &amp; Percentages'!$E$18</f>
        <v>3421.6416213541061</v>
      </c>
      <c r="X7" s="113"/>
      <c r="Y7" s="81">
        <f t="shared" si="3"/>
        <v>17345.216371569168</v>
      </c>
      <c r="Z7" s="85">
        <f t="shared" si="4"/>
        <v>9997.65</v>
      </c>
      <c r="AA7" s="80">
        <f>IF($AE7&gt;$Z7,$AE7*(1+'Factors &amp; Percentages'!$B$3),IF($Y7&gt;$Z7,$Z7,IF($Y7&gt;$AE7,$Y7,$AE7*(1+'Factors &amp; Percentages'!$B$3))))</f>
        <v>9997.65</v>
      </c>
      <c r="AB7" s="80">
        <f t="shared" si="5"/>
        <v>9997.65</v>
      </c>
      <c r="AC7" s="85"/>
      <c r="AD7" s="80">
        <f t="shared" si="6"/>
        <v>9997.65</v>
      </c>
      <c r="AE7" s="86">
        <v>3000</v>
      </c>
      <c r="AF7" s="87"/>
      <c r="AG7" s="88"/>
      <c r="AH7" s="88"/>
      <c r="AI7" s="88"/>
      <c r="AJ7" s="5"/>
    </row>
    <row r="8" spans="1:36" x14ac:dyDescent="0.3">
      <c r="A8" s="91" t="s">
        <v>11</v>
      </c>
      <c r="B8" s="76" t="s">
        <v>8</v>
      </c>
      <c r="C8" s="76" t="s">
        <v>8</v>
      </c>
      <c r="D8" s="31"/>
      <c r="E8" s="43">
        <f t="shared" si="0"/>
        <v>11866.050000000001</v>
      </c>
      <c r="F8" s="29"/>
      <c r="G8" s="51">
        <v>15870</v>
      </c>
      <c r="H8" s="59">
        <v>21311</v>
      </c>
      <c r="I8" s="51">
        <v>6313</v>
      </c>
      <c r="J8" s="59">
        <v>4290</v>
      </c>
      <c r="K8" s="49">
        <v>0</v>
      </c>
      <c r="L8" s="29"/>
      <c r="M8" s="62">
        <f t="shared" si="1"/>
        <v>21311</v>
      </c>
      <c r="N8" s="58">
        <f t="shared" si="2"/>
        <v>6742</v>
      </c>
      <c r="O8" s="46">
        <f>SUM(M8*'Factors &amp; Percentages'!$E$6+N8*'Factors &amp; Percentages'!$E$7)</f>
        <v>2112.7745510952213</v>
      </c>
      <c r="P8" s="65">
        <v>0.25</v>
      </c>
      <c r="Q8" s="46">
        <f>P8*'Factors &amp; Percentages'!$E$10</f>
        <v>2741.3939477921858</v>
      </c>
      <c r="R8" s="69">
        <v>1510</v>
      </c>
      <c r="S8" s="46">
        <f>R8*'Factors &amp; Percentages'!$E$13</f>
        <v>2681.2775895682371</v>
      </c>
      <c r="T8" s="63">
        <v>18</v>
      </c>
      <c r="U8" s="64">
        <v>36</v>
      </c>
      <c r="V8" s="63">
        <v>938</v>
      </c>
      <c r="W8" s="46">
        <f>T8*'Factors &amp; Percentages'!$E$16+U8*'Factors &amp; Percentages'!$E$17+V8*'Factors &amp; Percentages'!$E$18</f>
        <v>2869.8753603329824</v>
      </c>
      <c r="X8" s="114"/>
      <c r="Y8" s="58">
        <f t="shared" si="3"/>
        <v>10405.321448788627</v>
      </c>
      <c r="Z8" s="71">
        <f t="shared" si="4"/>
        <v>10405.321448788627</v>
      </c>
      <c r="AA8" s="51">
        <f>IF($AE8&gt;$Z8,$AE8*(1+'Factors &amp; Percentages'!$B$3),IF($Y8&gt;$Z8,$Z8,IF($Y8&gt;$AE8,$Y8,$AE8*(1+'Factors &amp; Percentages'!$B$3))))</f>
        <v>11866.050000000001</v>
      </c>
      <c r="AB8" s="59">
        <f t="shared" si="5"/>
        <v>11866.050000000001</v>
      </c>
      <c r="AC8" s="42"/>
      <c r="AD8" s="43">
        <f t="shared" si="6"/>
        <v>11866.050000000001</v>
      </c>
      <c r="AE8" s="75">
        <v>11301</v>
      </c>
      <c r="AF8" s="32"/>
      <c r="AG8" s="33"/>
      <c r="AH8" s="33"/>
      <c r="AI8" s="33"/>
      <c r="AJ8" s="5"/>
    </row>
    <row r="9" spans="1:36" s="89" customFormat="1" x14ac:dyDescent="0.3">
      <c r="A9" s="90" t="s">
        <v>12</v>
      </c>
      <c r="B9" s="78" t="s">
        <v>8</v>
      </c>
      <c r="C9" s="78" t="s">
        <v>8</v>
      </c>
      <c r="D9" s="79"/>
      <c r="E9" s="80">
        <f t="shared" si="0"/>
        <v>8132.7214566421899</v>
      </c>
      <c r="F9" s="80"/>
      <c r="G9" s="80">
        <v>7018</v>
      </c>
      <c r="H9" s="80">
        <v>18788</v>
      </c>
      <c r="I9" s="80">
        <v>12937</v>
      </c>
      <c r="J9" s="80">
        <v>96713</v>
      </c>
      <c r="K9" s="80">
        <v>4016</v>
      </c>
      <c r="L9" s="80"/>
      <c r="M9" s="81">
        <f t="shared" si="1"/>
        <v>19189.599999999999</v>
      </c>
      <c r="N9" s="81">
        <f t="shared" si="2"/>
        <v>22608.300000000003</v>
      </c>
      <c r="O9" s="81">
        <f>SUM(M9*'Factors &amp; Percentages'!$E$6+N9*'Factors &amp; Percentages'!$E$7)</f>
        <v>2870.7415046676401</v>
      </c>
      <c r="P9" s="82">
        <v>0.25</v>
      </c>
      <c r="Q9" s="81">
        <f>P9*'Factors &amp; Percentages'!$E$10</f>
        <v>2741.3939477921858</v>
      </c>
      <c r="R9" s="83">
        <v>258</v>
      </c>
      <c r="S9" s="81">
        <f>R9*'Factors &amp; Percentages'!$E$13</f>
        <v>458.12557490636107</v>
      </c>
      <c r="T9" s="84">
        <v>12</v>
      </c>
      <c r="U9" s="84">
        <v>28</v>
      </c>
      <c r="V9" s="84">
        <v>1072</v>
      </c>
      <c r="W9" s="81">
        <f>T9*'Factors &amp; Percentages'!$E$16+U9*'Factors &amp; Percentages'!$E$17+V9*'Factors &amp; Percentages'!$E$18</f>
        <v>2062.4604292760018</v>
      </c>
      <c r="X9" s="113"/>
      <c r="Y9" s="81">
        <f t="shared" si="3"/>
        <v>8132.7214566421899</v>
      </c>
      <c r="Z9" s="85">
        <f t="shared" si="4"/>
        <v>8132.7214566421899</v>
      </c>
      <c r="AA9" s="80">
        <f>IF($AE9&gt;$Z9,$AE9*(1+'Factors &amp; Percentages'!$B$3),IF($Y9&gt;$Z9,$Z9,IF($Y9&gt;$AE9,$Y9,$AE9*(1+'Factors &amp; Percentages'!$B$3))))</f>
        <v>8132.7214566421899</v>
      </c>
      <c r="AB9" s="80">
        <f t="shared" si="5"/>
        <v>8132.7214566421899</v>
      </c>
      <c r="AC9" s="85"/>
      <c r="AD9" s="80">
        <f t="shared" si="6"/>
        <v>8132.7214566421899</v>
      </c>
      <c r="AE9" s="86">
        <v>3000</v>
      </c>
      <c r="AF9" s="87"/>
      <c r="AG9" s="88"/>
      <c r="AH9" s="88"/>
      <c r="AI9" s="88"/>
      <c r="AJ9" s="5"/>
    </row>
    <row r="10" spans="1:36" x14ac:dyDescent="0.3">
      <c r="A10" s="91" t="s">
        <v>238</v>
      </c>
      <c r="B10" s="76" t="s">
        <v>8</v>
      </c>
      <c r="C10" s="76" t="s">
        <v>8</v>
      </c>
      <c r="D10" s="31"/>
      <c r="E10" s="43">
        <f t="shared" ref="E10:E14" si="7">+AB10</f>
        <v>19251.973513346893</v>
      </c>
      <c r="F10" s="29"/>
      <c r="G10" s="51">
        <v>18486</v>
      </c>
      <c r="H10" s="59">
        <v>19604</v>
      </c>
      <c r="I10" s="51">
        <v>19584</v>
      </c>
      <c r="J10" s="59">
        <v>10294</v>
      </c>
      <c r="K10" s="49">
        <v>368</v>
      </c>
      <c r="L10" s="29"/>
      <c r="M10" s="62">
        <f t="shared" ref="M10:M14" si="8">H10+K10*0.1</f>
        <v>19640.8</v>
      </c>
      <c r="N10" s="58">
        <f t="shared" ref="N10:N14" si="9">I10+0.1*J10</f>
        <v>20613.400000000001</v>
      </c>
      <c r="O10" s="46">
        <f>SUM(M10*'Factors &amp; Percentages'!$E$6+N10*'Factors &amp; Percentages'!$E$7)</f>
        <v>2790.3124458693628</v>
      </c>
      <c r="P10" s="65">
        <v>0.25</v>
      </c>
      <c r="Q10" s="46">
        <f>P10*'Factors &amp; Percentages'!$E$10</f>
        <v>2741.3939477921858</v>
      </c>
      <c r="R10" s="69">
        <v>6240</v>
      </c>
      <c r="S10" s="46">
        <f>R10*'Factors &amp; Percentages'!$E$13</f>
        <v>11080.246462851523</v>
      </c>
      <c r="T10" s="63">
        <v>13</v>
      </c>
      <c r="U10" s="64">
        <v>46</v>
      </c>
      <c r="V10" s="63">
        <v>1880</v>
      </c>
      <c r="W10" s="46">
        <f>T10*'Factors &amp; Percentages'!$E$16+U10*'Factors &amp; Percentages'!$E$17+V10*'Factors &amp; Percentages'!$E$18</f>
        <v>2640.0206568338222</v>
      </c>
      <c r="X10" s="114"/>
      <c r="Y10" s="58">
        <f t="shared" ref="Y10:Y14" si="10">O10+Q10+S10+W10</f>
        <v>19251.973513346893</v>
      </c>
      <c r="Z10" s="71">
        <f t="shared" ref="Z10:Z14" si="11">IF($I10&gt;($H10+$G10)/2,$Y10,MIN(Y10,$H10*0.65))</f>
        <v>19251.973513346893</v>
      </c>
      <c r="AA10" s="51">
        <f>IF($AE10&gt;$Z10,$AE10*(1+'Factors &amp; Percentages'!$B$3),IF($Y10&gt;$Z10,$Z10,IF($Y10&gt;$AE10,$Y10,$AE10*(1+'Factors &amp; Percentages'!$B$3))))</f>
        <v>19251.973513346893</v>
      </c>
      <c r="AB10" s="59">
        <f t="shared" ref="AB10:AB14" si="12">MIN(AA10,+P10*2*88928)</f>
        <v>19251.973513346893</v>
      </c>
      <c r="AC10" s="42"/>
      <c r="AD10" s="43">
        <f t="shared" ref="AD10:AD14" si="13">AB10</f>
        <v>19251.973513346893</v>
      </c>
      <c r="AE10" s="75">
        <v>8000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13</v>
      </c>
      <c r="B11" s="78" t="s">
        <v>8</v>
      </c>
      <c r="C11" s="78" t="s">
        <v>8</v>
      </c>
      <c r="D11" s="79"/>
      <c r="E11" s="80">
        <f t="shared" si="7"/>
        <v>21945.072454944144</v>
      </c>
      <c r="F11" s="80"/>
      <c r="G11" s="80">
        <v>15786</v>
      </c>
      <c r="H11" s="80">
        <v>17649</v>
      </c>
      <c r="I11" s="80">
        <v>36804</v>
      </c>
      <c r="J11" s="80">
        <v>60000</v>
      </c>
      <c r="K11" s="80">
        <v>4272</v>
      </c>
      <c r="L11" s="80"/>
      <c r="M11" s="81">
        <f t="shared" si="8"/>
        <v>18076.2</v>
      </c>
      <c r="N11" s="81">
        <f t="shared" si="9"/>
        <v>42804</v>
      </c>
      <c r="O11" s="81">
        <f>SUM(M11*'Factors &amp; Percentages'!$E$6+N11*'Factors &amp; Percentages'!$E$7)</f>
        <v>3963.4607543033312</v>
      </c>
      <c r="P11" s="82">
        <v>0.25</v>
      </c>
      <c r="Q11" s="81">
        <f>P11*'Factors &amp; Percentages'!$E$10</f>
        <v>2741.3939477921858</v>
      </c>
      <c r="R11" s="83">
        <v>6419</v>
      </c>
      <c r="S11" s="81">
        <f>R11*'Factors &amp; Percentages'!$E$13</f>
        <v>11398.093276449346</v>
      </c>
      <c r="T11" s="84">
        <v>25</v>
      </c>
      <c r="U11" s="84">
        <v>34</v>
      </c>
      <c r="V11" s="84">
        <v>2129</v>
      </c>
      <c r="W11" s="81">
        <f>T11*'Factors &amp; Percentages'!$E$16+U11*'Factors &amp; Percentages'!$E$17+V11*'Factors &amp; Percentages'!$E$18</f>
        <v>3842.1244763992809</v>
      </c>
      <c r="X11" s="113"/>
      <c r="Y11" s="81">
        <f t="shared" si="10"/>
        <v>21945.072454944144</v>
      </c>
      <c r="Z11" s="85">
        <f t="shared" si="11"/>
        <v>21945.072454944144</v>
      </c>
      <c r="AA11" s="80">
        <f>IF($AE11&gt;$Z11,$AE11*(1+'Factors &amp; Percentages'!$B$3),IF($Y11&gt;$Z11,$Z11,IF($Y11&gt;$AE11,$Y11,$AE11*(1+'Factors &amp; Percentages'!$B$3))))</f>
        <v>21945.072454944144</v>
      </c>
      <c r="AB11" s="80">
        <f t="shared" si="12"/>
        <v>21945.072454944144</v>
      </c>
      <c r="AC11" s="85"/>
      <c r="AD11" s="80">
        <f t="shared" si="13"/>
        <v>21945.072454944144</v>
      </c>
      <c r="AE11" s="86">
        <v>9200</v>
      </c>
      <c r="AF11" s="87"/>
      <c r="AG11" s="88"/>
      <c r="AH11" s="88"/>
      <c r="AI11" s="88"/>
      <c r="AJ11" s="5"/>
    </row>
    <row r="12" spans="1:36" x14ac:dyDescent="0.3">
      <c r="A12" s="91" t="s">
        <v>14</v>
      </c>
      <c r="B12" s="76" t="s">
        <v>8</v>
      </c>
      <c r="C12" s="76" t="s">
        <v>8</v>
      </c>
      <c r="D12" s="31"/>
      <c r="E12" s="43">
        <f t="shared" si="7"/>
        <v>59430</v>
      </c>
      <c r="F12" s="29"/>
      <c r="G12" s="51">
        <f>71172-4470</f>
        <v>66702</v>
      </c>
      <c r="H12" s="59">
        <v>94593</v>
      </c>
      <c r="I12" s="51">
        <v>19193</v>
      </c>
      <c r="J12" s="59">
        <v>49738</v>
      </c>
      <c r="K12" s="49">
        <v>9502</v>
      </c>
      <c r="L12" s="29"/>
      <c r="M12" s="62">
        <f t="shared" si="8"/>
        <v>95543.2</v>
      </c>
      <c r="N12" s="58">
        <f t="shared" si="9"/>
        <v>24166.799999999999</v>
      </c>
      <c r="O12" s="46">
        <f>SUM(M12*'Factors &amp; Percentages'!$E$6+N12*'Factors &amp; Percentages'!$E$7)</f>
        <v>9117.3733898640821</v>
      </c>
      <c r="P12" s="65">
        <v>2</v>
      </c>
      <c r="Q12" s="46">
        <f>P12*'Factors &amp; Percentages'!$E$10</f>
        <v>21931.151582337487</v>
      </c>
      <c r="R12" s="69">
        <v>1565</v>
      </c>
      <c r="S12" s="46">
        <f>R12*'Factors &amp; Percentages'!$E$13</f>
        <v>2778.9400183273451</v>
      </c>
      <c r="T12" s="63">
        <f>18+16+32</f>
        <v>66</v>
      </c>
      <c r="U12" s="64">
        <v>130</v>
      </c>
      <c r="V12" s="63">
        <v>26408</v>
      </c>
      <c r="W12" s="46">
        <f>T12*'Factors &amp; Percentages'!$E$16+U12*'Factors &amp; Percentages'!$E$17+V12*'Factors &amp; Percentages'!$E$18</f>
        <v>14469.340631048526</v>
      </c>
      <c r="X12" s="114"/>
      <c r="Y12" s="58">
        <f t="shared" si="10"/>
        <v>48296.805621577441</v>
      </c>
      <c r="Z12" s="71">
        <f t="shared" si="11"/>
        <v>48296.805621577441</v>
      </c>
      <c r="AA12" s="51">
        <f>IF($AE12&gt;$Z12,$AE12*(1+'Factors &amp; Percentages'!$B$3),IF($Y12&gt;$Z12,$Z12,IF($Y12&gt;$AE12,$Y12,$AE12*(1+'Factors &amp; Percentages'!$B$3))))</f>
        <v>59430</v>
      </c>
      <c r="AB12" s="59">
        <f t="shared" si="12"/>
        <v>59430</v>
      </c>
      <c r="AC12" s="42"/>
      <c r="AD12" s="43">
        <f t="shared" si="13"/>
        <v>59430</v>
      </c>
      <c r="AE12" s="75">
        <v>56600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15</v>
      </c>
      <c r="B13" s="78" t="s">
        <v>8</v>
      </c>
      <c r="C13" s="78" t="s">
        <v>8</v>
      </c>
      <c r="D13" s="79"/>
      <c r="E13" s="80">
        <f t="shared" si="7"/>
        <v>16744.960654280294</v>
      </c>
      <c r="F13" s="80"/>
      <c r="G13" s="80">
        <f>18392-1000</f>
        <v>17392</v>
      </c>
      <c r="H13" s="80">
        <v>12286</v>
      </c>
      <c r="I13" s="80">
        <v>21936</v>
      </c>
      <c r="J13" s="80">
        <v>1015</v>
      </c>
      <c r="K13" s="80">
        <v>3</v>
      </c>
      <c r="L13" s="80"/>
      <c r="M13" s="81">
        <f t="shared" si="8"/>
        <v>12286.3</v>
      </c>
      <c r="N13" s="81">
        <f t="shared" si="9"/>
        <v>22037.5</v>
      </c>
      <c r="O13" s="81">
        <f>SUM(M13*'Factors &amp; Percentages'!$E$6+N13*'Factors &amp; Percentages'!$E$7)</f>
        <v>2280.798897072812</v>
      </c>
      <c r="P13" s="82">
        <v>0.25</v>
      </c>
      <c r="Q13" s="81">
        <f>P13*'Factors &amp; Percentages'!$E$10</f>
        <v>2741.3939477921858</v>
      </c>
      <c r="R13" s="83">
        <v>4659</v>
      </c>
      <c r="S13" s="81">
        <f>R13*'Factors &amp; Percentages'!$E$13</f>
        <v>8272.8955561578914</v>
      </c>
      <c r="T13" s="84">
        <v>25</v>
      </c>
      <c r="U13" s="84">
        <v>27</v>
      </c>
      <c r="V13" s="84">
        <v>591</v>
      </c>
      <c r="W13" s="81">
        <f>T13*'Factors &amp; Percentages'!$E$16+U13*'Factors &amp; Percentages'!$E$17+V13*'Factors &amp; Percentages'!$E$18</f>
        <v>3449.8722532574043</v>
      </c>
      <c r="X13" s="113"/>
      <c r="Y13" s="81">
        <f t="shared" si="10"/>
        <v>16744.960654280294</v>
      </c>
      <c r="Z13" s="85">
        <f t="shared" si="11"/>
        <v>16744.960654280294</v>
      </c>
      <c r="AA13" s="80">
        <f>IF($AE13&gt;$Z13,$AE13*(1+'Factors &amp; Percentages'!$B$3),IF($Y13&gt;$Z13,$Z13,IF($Y13&gt;$AE13,$Y13,$AE13*(1+'Factors &amp; Percentages'!$B$3))))</f>
        <v>16744.960654280294</v>
      </c>
      <c r="AB13" s="80">
        <f t="shared" si="12"/>
        <v>16744.960654280294</v>
      </c>
      <c r="AC13" s="85"/>
      <c r="AD13" s="80">
        <f t="shared" si="13"/>
        <v>16744.960654280294</v>
      </c>
      <c r="AE13" s="86">
        <v>6300</v>
      </c>
      <c r="AF13" s="87"/>
      <c r="AG13" s="88"/>
      <c r="AH13" s="88"/>
      <c r="AI13" s="88"/>
      <c r="AJ13" s="5"/>
    </row>
    <row r="14" spans="1:36" x14ac:dyDescent="0.3">
      <c r="A14" s="91" t="s">
        <v>16</v>
      </c>
      <c r="B14" s="76" t="s">
        <v>8</v>
      </c>
      <c r="C14" s="76" t="s">
        <v>8</v>
      </c>
      <c r="D14" s="31"/>
      <c r="E14" s="43">
        <f t="shared" si="7"/>
        <v>21535.15</v>
      </c>
      <c r="F14" s="29"/>
      <c r="G14" s="51">
        <v>33500</v>
      </c>
      <c r="H14" s="59">
        <v>33131</v>
      </c>
      <c r="I14" s="51">
        <v>14341</v>
      </c>
      <c r="J14" s="59">
        <v>12874</v>
      </c>
      <c r="K14" s="49">
        <v>853</v>
      </c>
      <c r="L14" s="29"/>
      <c r="M14" s="62">
        <f t="shared" si="8"/>
        <v>33216.300000000003</v>
      </c>
      <c r="N14" s="58">
        <f t="shared" si="9"/>
        <v>15628.4</v>
      </c>
      <c r="O14" s="46">
        <f>SUM(M14*'Factors &amp; Percentages'!$E$6+N14*'Factors &amp; Percentages'!$E$7)</f>
        <v>3592.8487144338678</v>
      </c>
      <c r="P14" s="65">
        <v>0.25</v>
      </c>
      <c r="Q14" s="46">
        <f>P14*'Factors &amp; Percentages'!$E$10</f>
        <v>2741.3939477921858</v>
      </c>
      <c r="R14" s="69">
        <v>6450</v>
      </c>
      <c r="S14" s="46">
        <f>R14*'Factors &amp; Percentages'!$E$13</f>
        <v>11453.139372659027</v>
      </c>
      <c r="T14" s="63">
        <v>27</v>
      </c>
      <c r="U14" s="64">
        <v>66</v>
      </c>
      <c r="V14" s="63">
        <v>1329</v>
      </c>
      <c r="W14" s="46">
        <f>T14*'Factors &amp; Percentages'!$E$16+U14*'Factors &amp; Percentages'!$E$17+V14*'Factors &amp; Percentages'!$E$18</f>
        <v>4506.588294821966</v>
      </c>
      <c r="X14" s="114"/>
      <c r="Y14" s="58">
        <f t="shared" si="10"/>
        <v>22293.970329707045</v>
      </c>
      <c r="Z14" s="71">
        <f t="shared" si="11"/>
        <v>21535.15</v>
      </c>
      <c r="AA14" s="51">
        <f>IF($AE14&gt;$Z14,$AE14*(1+'Factors &amp; Percentages'!$B$3),IF($Y14&gt;$Z14,$Z14,IF($Y14&gt;$AE14,$Y14,$AE14*(1+'Factors &amp; Percentages'!$B$3))))</f>
        <v>21535.15</v>
      </c>
      <c r="AB14" s="59">
        <f t="shared" si="12"/>
        <v>21535.15</v>
      </c>
      <c r="AC14" s="42"/>
      <c r="AD14" s="43">
        <f t="shared" si="13"/>
        <v>21535.15</v>
      </c>
      <c r="AE14" s="75">
        <v>21215</v>
      </c>
      <c r="AF14" s="32"/>
      <c r="AG14" s="33"/>
      <c r="AH14" s="33"/>
      <c r="AI14" s="33"/>
      <c r="AJ14" s="5"/>
    </row>
    <row r="15" spans="1:36" s="89" customFormat="1" x14ac:dyDescent="0.3">
      <c r="A15" s="90" t="s">
        <v>17</v>
      </c>
      <c r="B15" s="78" t="s">
        <v>8</v>
      </c>
      <c r="C15" s="78" t="s">
        <v>8</v>
      </c>
      <c r="D15" s="79"/>
      <c r="E15" s="80">
        <f t="shared" ref="E15:E19" si="14">+AB15</f>
        <v>37800</v>
      </c>
      <c r="F15" s="80"/>
      <c r="G15" s="80">
        <v>61675</v>
      </c>
      <c r="H15" s="80">
        <v>71330</v>
      </c>
      <c r="I15" s="80">
        <v>64666</v>
      </c>
      <c r="J15" s="80">
        <v>3836</v>
      </c>
      <c r="K15" s="80">
        <v>732</v>
      </c>
      <c r="L15" s="80"/>
      <c r="M15" s="81">
        <f t="shared" ref="M15:M18" si="15">H15+K15*0.1</f>
        <v>71403.199999999997</v>
      </c>
      <c r="N15" s="81">
        <f t="shared" ref="N15:N18" si="16">I15+0.1*J15</f>
        <v>65049.599999999999</v>
      </c>
      <c r="O15" s="81">
        <f>SUM(M15*'Factors &amp; Percentages'!$E$6+N15*'Factors &amp; Percentages'!$E$7)</f>
        <v>9565.0125555655541</v>
      </c>
      <c r="P15" s="82">
        <v>0.75</v>
      </c>
      <c r="Q15" s="81">
        <f>P15*'Factors &amp; Percentages'!$E$10</f>
        <v>8224.1818433765584</v>
      </c>
      <c r="R15" s="83">
        <v>444</v>
      </c>
      <c r="S15" s="81">
        <f>R15*'Factors &amp; Percentages'!$E$13</f>
        <v>788.40215216443528</v>
      </c>
      <c r="T15" s="84">
        <v>30</v>
      </c>
      <c r="U15" s="84">
        <v>93</v>
      </c>
      <c r="V15" s="84">
        <v>10221</v>
      </c>
      <c r="W15" s="81">
        <f>T15*'Factors &amp; Percentages'!$E$16+U15*'Factors &amp; Percentages'!$E$17+V15*'Factors &amp; Percentages'!$E$18</f>
        <v>6876.2792787133021</v>
      </c>
      <c r="X15" s="113"/>
      <c r="Y15" s="81">
        <f t="shared" ref="Y15:Y18" si="17">O15+Q15+S15+W15</f>
        <v>25453.875829819852</v>
      </c>
      <c r="Z15" s="85">
        <f t="shared" ref="Z15:Z18" si="18">IF($I15&gt;($H15+$G15)/2,$Y15,MIN(Y15,$H15*0.65))</f>
        <v>25453.875829819852</v>
      </c>
      <c r="AA15" s="80">
        <f>IF($AE15&gt;$Z15,$AE15*(1+'Factors &amp; Percentages'!$B$3),IF($Y15&gt;$Z15,$Z15,IF($Y15&gt;$AE15,$Y15,$AE15*(1+'Factors &amp; Percentages'!$B$3))))</f>
        <v>37800</v>
      </c>
      <c r="AB15" s="80">
        <f t="shared" ref="AB15:AB18" si="19">MIN(AA15,+P15*2*88928)</f>
        <v>37800</v>
      </c>
      <c r="AC15" s="85"/>
      <c r="AD15" s="80">
        <f t="shared" ref="AD15:AD18" si="20">AB15</f>
        <v>37800</v>
      </c>
      <c r="AE15" s="86">
        <v>36000</v>
      </c>
      <c r="AF15" s="87"/>
      <c r="AG15" s="88"/>
      <c r="AH15" s="88"/>
      <c r="AI15" s="88"/>
      <c r="AJ15" s="5"/>
    </row>
    <row r="16" spans="1:36" x14ac:dyDescent="0.3">
      <c r="A16" s="91" t="s">
        <v>18</v>
      </c>
      <c r="B16" s="76" t="s">
        <v>8</v>
      </c>
      <c r="C16" s="76" t="s">
        <v>8</v>
      </c>
      <c r="D16" s="31"/>
      <c r="E16" s="43">
        <f t="shared" si="14"/>
        <v>45360</v>
      </c>
      <c r="F16" s="29"/>
      <c r="G16" s="51">
        <f>73683-7280</f>
        <v>66403</v>
      </c>
      <c r="H16" s="59">
        <v>94536</v>
      </c>
      <c r="I16" s="51">
        <v>113031</v>
      </c>
      <c r="J16" s="59">
        <v>6933</v>
      </c>
      <c r="K16" s="49">
        <v>128</v>
      </c>
      <c r="L16" s="29"/>
      <c r="M16" s="62">
        <f t="shared" si="15"/>
        <v>94548.800000000003</v>
      </c>
      <c r="N16" s="58">
        <f t="shared" si="16"/>
        <v>113724.3</v>
      </c>
      <c r="O16" s="46">
        <f>SUM(M16*'Factors &amp; Percentages'!$E$6+N16*'Factors &amp; Percentages'!$E$7)</f>
        <v>14280.887153201962</v>
      </c>
      <c r="P16" s="65">
        <v>0.7</v>
      </c>
      <c r="Q16" s="46">
        <f>P16*'Factors &amp; Percentages'!$E$10</f>
        <v>7675.9030538181196</v>
      </c>
      <c r="R16" s="69">
        <v>2241</v>
      </c>
      <c r="S16" s="46">
        <f>R16*'Factors &amp; Percentages'!$E$13</f>
        <v>3979.3000518029266</v>
      </c>
      <c r="T16" s="63">
        <v>55</v>
      </c>
      <c r="U16" s="64">
        <v>114</v>
      </c>
      <c r="V16" s="63">
        <v>10143</v>
      </c>
      <c r="W16" s="46">
        <f>T16*'Factors &amp; Percentages'!$E$16+U16*'Factors &amp; Percentages'!$E$17+V16*'Factors &amp; Percentages'!$E$18</f>
        <v>10102.509630133578</v>
      </c>
      <c r="X16" s="114"/>
      <c r="Y16" s="58">
        <f t="shared" si="17"/>
        <v>36038.599888956582</v>
      </c>
      <c r="Z16" s="71">
        <f t="shared" si="18"/>
        <v>36038.599888956582</v>
      </c>
      <c r="AA16" s="51">
        <f>IF($AE16&gt;$Z16,$AE16*(1+'Factors &amp; Percentages'!$B$3),IF($Y16&gt;$Z16,$Z16,IF($Y16&gt;$AE16,$Y16,$AE16*(1+'Factors &amp; Percentages'!$B$3))))</f>
        <v>45360</v>
      </c>
      <c r="AB16" s="59">
        <f t="shared" si="19"/>
        <v>45360</v>
      </c>
      <c r="AC16" s="42"/>
      <c r="AD16" s="43">
        <f t="shared" si="20"/>
        <v>45360</v>
      </c>
      <c r="AE16" s="75">
        <v>43200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19</v>
      </c>
      <c r="B17" s="78" t="s">
        <v>8</v>
      </c>
      <c r="C17" s="78" t="s">
        <v>8</v>
      </c>
      <c r="D17" s="79"/>
      <c r="E17" s="80">
        <f t="shared" si="14"/>
        <v>19845</v>
      </c>
      <c r="F17" s="80"/>
      <c r="G17" s="80">
        <v>25434</v>
      </c>
      <c r="H17" s="80">
        <v>27277</v>
      </c>
      <c r="I17" s="80">
        <v>5086</v>
      </c>
      <c r="J17" s="80">
        <v>0</v>
      </c>
      <c r="K17" s="80">
        <v>0</v>
      </c>
      <c r="L17" s="80"/>
      <c r="M17" s="81">
        <f t="shared" si="15"/>
        <v>27277</v>
      </c>
      <c r="N17" s="81">
        <f t="shared" si="16"/>
        <v>5086</v>
      </c>
      <c r="O17" s="81">
        <f>SUM(M17*'Factors &amp; Percentages'!$E$6+N17*'Factors &amp; Percentages'!$E$7)</f>
        <v>2496.7737509713838</v>
      </c>
      <c r="P17" s="82">
        <v>0.25</v>
      </c>
      <c r="Q17" s="81">
        <f>P17*'Factors &amp; Percentages'!$E$10</f>
        <v>2741.3939477921858</v>
      </c>
      <c r="R17" s="83">
        <v>3494</v>
      </c>
      <c r="S17" s="81">
        <f>R17*'Factors &amp; Percentages'!$E$13</f>
        <v>6204.2277469876954</v>
      </c>
      <c r="T17" s="84">
        <v>22</v>
      </c>
      <c r="U17" s="84">
        <v>65</v>
      </c>
      <c r="V17" s="84">
        <v>2154</v>
      </c>
      <c r="W17" s="81">
        <f>T17*'Factors &amp; Percentages'!$E$16+U17*'Factors &amp; Percentages'!$E$17+V17*'Factors &amp; Percentages'!$E$18</f>
        <v>4059.0904828034536</v>
      </c>
      <c r="X17" s="113"/>
      <c r="Y17" s="81">
        <f t="shared" si="17"/>
        <v>15501.485928554717</v>
      </c>
      <c r="Z17" s="85">
        <f t="shared" si="18"/>
        <v>15501.485928554717</v>
      </c>
      <c r="AA17" s="80">
        <f>IF($AE17&gt;$Z17,$AE17*(1+'Factors &amp; Percentages'!$B$3),IF($Y17&gt;$Z17,$Z17,IF($Y17&gt;$AE17,$Y17,$AE17*(1+'Factors &amp; Percentages'!$B$3))))</f>
        <v>19845</v>
      </c>
      <c r="AB17" s="80">
        <f t="shared" si="19"/>
        <v>19845</v>
      </c>
      <c r="AC17" s="85"/>
      <c r="AD17" s="80">
        <f t="shared" si="20"/>
        <v>19845</v>
      </c>
      <c r="AE17" s="86">
        <v>18900</v>
      </c>
      <c r="AF17" s="87"/>
      <c r="AG17" s="88"/>
      <c r="AH17" s="88"/>
      <c r="AI17" s="88"/>
      <c r="AJ17" s="5"/>
    </row>
    <row r="18" spans="1:36" x14ac:dyDescent="0.3">
      <c r="A18" s="91" t="s">
        <v>20</v>
      </c>
      <c r="B18" s="76" t="s">
        <v>8</v>
      </c>
      <c r="C18" s="76" t="s">
        <v>8</v>
      </c>
      <c r="D18" s="31"/>
      <c r="E18" s="43">
        <f t="shared" si="14"/>
        <v>18900</v>
      </c>
      <c r="F18" s="29"/>
      <c r="G18" s="51">
        <v>40604</v>
      </c>
      <c r="H18" s="59">
        <v>43064</v>
      </c>
      <c r="I18" s="51">
        <v>8578</v>
      </c>
      <c r="J18" s="59">
        <v>11141</v>
      </c>
      <c r="K18" s="49">
        <v>4606</v>
      </c>
      <c r="L18" s="29"/>
      <c r="M18" s="62">
        <f t="shared" si="15"/>
        <v>43524.6</v>
      </c>
      <c r="N18" s="58">
        <f t="shared" si="16"/>
        <v>9692.1</v>
      </c>
      <c r="O18" s="46">
        <f>SUM(M18*'Factors &amp; Percentages'!$E$6+N18*'Factors &amp; Percentages'!$E$7)</f>
        <v>4076.2943461873788</v>
      </c>
      <c r="P18" s="65">
        <v>0.5</v>
      </c>
      <c r="Q18" s="46">
        <f>P18*'Factors &amp; Percentages'!$E$10</f>
        <v>5482.7878955843717</v>
      </c>
      <c r="R18" s="69">
        <v>1048</v>
      </c>
      <c r="S18" s="46">
        <f>R18*'Factors &amp; Percentages'!$E$13</f>
        <v>1860.9131879917302</v>
      </c>
      <c r="T18" s="63">
        <v>32</v>
      </c>
      <c r="U18" s="64">
        <v>93</v>
      </c>
      <c r="V18" s="63">
        <v>6772</v>
      </c>
      <c r="W18" s="46">
        <f>T18*'Factors &amp; Percentages'!$E$16+U18*'Factors &amp; Percentages'!$E$17+V18*'Factors &amp; Percentages'!$E$18</f>
        <v>6507.3241099751649</v>
      </c>
      <c r="X18" s="114"/>
      <c r="Y18" s="58">
        <f t="shared" si="17"/>
        <v>17927.319539738644</v>
      </c>
      <c r="Z18" s="71">
        <f t="shared" si="18"/>
        <v>17927.319539738644</v>
      </c>
      <c r="AA18" s="51">
        <f>IF($AE18&gt;$Z18,$AE18*(1+'Factors &amp; Percentages'!$B$3),IF($Y18&gt;$Z18,$Z18,IF($Y18&gt;$AE18,$Y18,$AE18*(1+'Factors &amp; Percentages'!$B$3))))</f>
        <v>18900</v>
      </c>
      <c r="AB18" s="59">
        <f t="shared" si="19"/>
        <v>18900</v>
      </c>
      <c r="AC18" s="42"/>
      <c r="AD18" s="43">
        <f t="shared" si="20"/>
        <v>18900</v>
      </c>
      <c r="AE18" s="75">
        <v>18000</v>
      </c>
      <c r="AF18" s="32"/>
      <c r="AG18" s="33"/>
      <c r="AH18" s="33"/>
      <c r="AI18" s="33"/>
      <c r="AJ18" s="5"/>
    </row>
    <row r="19" spans="1:36" s="89" customFormat="1" x14ac:dyDescent="0.3">
      <c r="A19" s="90" t="s">
        <v>21</v>
      </c>
      <c r="B19" s="78" t="s">
        <v>8</v>
      </c>
      <c r="C19" s="78" t="s">
        <v>8</v>
      </c>
      <c r="D19" s="79"/>
      <c r="E19" s="80">
        <f t="shared" si="14"/>
        <v>13040.984728406143</v>
      </c>
      <c r="F19" s="80"/>
      <c r="G19" s="80">
        <f>15245-3640</f>
        <v>11605</v>
      </c>
      <c r="H19" s="80">
        <v>10913</v>
      </c>
      <c r="I19" s="80">
        <v>21117</v>
      </c>
      <c r="J19" s="80">
        <v>137576</v>
      </c>
      <c r="K19" s="80">
        <v>2265</v>
      </c>
      <c r="L19" s="80"/>
      <c r="M19" s="81">
        <f t="shared" ref="M19:M21" si="21">H19+K19*0.1</f>
        <v>11139.5</v>
      </c>
      <c r="N19" s="81">
        <f t="shared" ref="N19:N21" si="22">I19+0.1*J19</f>
        <v>34874.6</v>
      </c>
      <c r="O19" s="81">
        <f>SUM(M19*'Factors &amp; Percentages'!$E$6+N19*'Factors &amp; Percentages'!$E$7)</f>
        <v>2939.9723314275252</v>
      </c>
      <c r="P19" s="82">
        <v>0.3</v>
      </c>
      <c r="Q19" s="81">
        <f>P19*'Factors &amp; Percentages'!$E$10</f>
        <v>3289.6727373506228</v>
      </c>
      <c r="R19" s="83">
        <v>2579</v>
      </c>
      <c r="S19" s="81">
        <f>R19*'Factors &amp; Percentages'!$E$13</f>
        <v>4579.4800685407172</v>
      </c>
      <c r="T19" s="84">
        <v>15</v>
      </c>
      <c r="U19" s="84">
        <v>27</v>
      </c>
      <c r="V19" s="84">
        <v>171</v>
      </c>
      <c r="W19" s="81">
        <f>T19*'Factors &amp; Percentages'!$E$16+U19*'Factors &amp; Percentages'!$E$17+V19*'Factors &amp; Percentages'!$E$18</f>
        <v>2231.8595910872782</v>
      </c>
      <c r="X19" s="113"/>
      <c r="Y19" s="81">
        <f t="shared" ref="Y19:Y21" si="23">O19+Q19+S19+W19</f>
        <v>13040.984728406143</v>
      </c>
      <c r="Z19" s="85">
        <f t="shared" ref="Z19:Z21" si="24">IF($I19&gt;($H19+$G19)/2,$Y19,MIN(Y19,$H19*0.65))</f>
        <v>13040.984728406143</v>
      </c>
      <c r="AA19" s="80">
        <f>IF($AE19&gt;$Z19,$AE19*(1+'Factors &amp; Percentages'!$B$3),IF($Y19&gt;$Z19,$Z19,IF($Y19&gt;$AE19,$Y19,$AE19*(1+'Factors &amp; Percentages'!$B$3))))</f>
        <v>13040.984728406143</v>
      </c>
      <c r="AB19" s="80">
        <f t="shared" ref="AB19:AB21" si="25">MIN(AA19,+P19*2*88928)</f>
        <v>13040.984728406143</v>
      </c>
      <c r="AC19" s="85"/>
      <c r="AD19" s="80">
        <f t="shared" ref="AD19:AD21" si="26">AB19</f>
        <v>13040.984728406143</v>
      </c>
      <c r="AE19" s="86">
        <v>10250</v>
      </c>
      <c r="AF19" s="87"/>
      <c r="AG19" s="88"/>
      <c r="AH19" s="88"/>
      <c r="AI19" s="88"/>
      <c r="AJ19" s="5"/>
    </row>
    <row r="20" spans="1:36" x14ac:dyDescent="0.3">
      <c r="A20" s="91" t="s">
        <v>22</v>
      </c>
      <c r="B20" s="76" t="s">
        <v>8</v>
      </c>
      <c r="C20" s="76" t="s">
        <v>8</v>
      </c>
      <c r="D20" s="31"/>
      <c r="E20" s="43">
        <f t="shared" ref="E20:E21" si="27">+AB20</f>
        <v>9530.9500000000007</v>
      </c>
      <c r="F20" s="29"/>
      <c r="G20" s="51">
        <f>13221-200</f>
        <v>13021</v>
      </c>
      <c r="H20" s="59">
        <v>14663</v>
      </c>
      <c r="I20" s="51">
        <v>10803</v>
      </c>
      <c r="J20" s="59">
        <v>19058</v>
      </c>
      <c r="K20" s="49">
        <v>4677</v>
      </c>
      <c r="L20" s="29"/>
      <c r="M20" s="62">
        <f t="shared" si="21"/>
        <v>15130.7</v>
      </c>
      <c r="N20" s="58">
        <f t="shared" si="22"/>
        <v>12708.8</v>
      </c>
      <c r="O20" s="46">
        <f>SUM(M20*'Factors &amp; Percentages'!$E$6+N20*'Factors &amp; Percentages'!$E$7)</f>
        <v>1963.9007278965103</v>
      </c>
      <c r="P20" s="65">
        <v>0.25</v>
      </c>
      <c r="Q20" s="46">
        <f>P20*'Factors &amp; Percentages'!$E$10</f>
        <v>2741.3939477921858</v>
      </c>
      <c r="R20" s="69">
        <v>7666</v>
      </c>
      <c r="S20" s="46">
        <f>R20*'Factors &amp; Percentages'!$E$13</f>
        <v>13612.366888496759</v>
      </c>
      <c r="T20" s="63">
        <v>17</v>
      </c>
      <c r="U20" s="64">
        <v>39</v>
      </c>
      <c r="V20" s="63">
        <v>913</v>
      </c>
      <c r="W20" s="46">
        <f>T20*'Factors &amp; Percentages'!$E$16+U20*'Factors &amp; Percentages'!$E$17+V20*'Factors &amp; Percentages'!$E$18</f>
        <v>2804.8463413486684</v>
      </c>
      <c r="X20" s="114"/>
      <c r="Y20" s="58">
        <f t="shared" si="23"/>
        <v>21122.507905534123</v>
      </c>
      <c r="Z20" s="71">
        <f t="shared" si="24"/>
        <v>9530.9500000000007</v>
      </c>
      <c r="AA20" s="51">
        <f>IF($AE20&gt;$Z20,$AE20*(1+'Factors &amp; Percentages'!$B$3),IF($Y20&gt;$Z20,$Z20,IF($Y20&gt;$AE20,$Y20,$AE20*(1+'Factors &amp; Percentages'!$B$3))))</f>
        <v>9530.9500000000007</v>
      </c>
      <c r="AB20" s="59">
        <f t="shared" si="25"/>
        <v>9530.9500000000007</v>
      </c>
      <c r="AC20" s="42"/>
      <c r="AD20" s="43">
        <f t="shared" si="26"/>
        <v>9530.9500000000007</v>
      </c>
      <c r="AE20" s="75">
        <v>8612</v>
      </c>
      <c r="AF20" s="32"/>
      <c r="AG20" s="33"/>
      <c r="AH20" s="33"/>
      <c r="AI20" s="33"/>
      <c r="AJ20" s="5"/>
    </row>
    <row r="21" spans="1:36" s="89" customFormat="1" x14ac:dyDescent="0.3">
      <c r="A21" s="90" t="s">
        <v>29</v>
      </c>
      <c r="B21" s="78" t="s">
        <v>8</v>
      </c>
      <c r="C21" s="78" t="s">
        <v>8</v>
      </c>
      <c r="D21" s="79"/>
      <c r="E21" s="80">
        <f t="shared" si="27"/>
        <v>5277.1529717184021</v>
      </c>
      <c r="F21" s="80"/>
      <c r="G21" s="80">
        <f>46738-6549</f>
        <v>40189</v>
      </c>
      <c r="H21" s="80">
        <v>43250</v>
      </c>
      <c r="I21" s="80">
        <v>21758</v>
      </c>
      <c r="J21" s="80">
        <v>0</v>
      </c>
      <c r="K21" s="80">
        <v>0</v>
      </c>
      <c r="L21" s="80"/>
      <c r="M21" s="81">
        <f t="shared" si="21"/>
        <v>43250</v>
      </c>
      <c r="N21" s="81">
        <f t="shared" si="22"/>
        <v>21758</v>
      </c>
      <c r="O21" s="81">
        <f>SUM(M21*'Factors &amp; Percentages'!$E$6+N21*'Factors &amp; Percentages'!$E$7)</f>
        <v>4760.6272094787528</v>
      </c>
      <c r="P21" s="82">
        <v>0.2</v>
      </c>
      <c r="Q21" s="81">
        <f>P21*'Factors &amp; Percentages'!$E$10</f>
        <v>2193.1151582337488</v>
      </c>
      <c r="R21" s="83">
        <v>848</v>
      </c>
      <c r="S21" s="81">
        <f>R21*'Factors &amp; Percentages'!$E$13</f>
        <v>1505.7770834131557</v>
      </c>
      <c r="T21" s="84">
        <v>20</v>
      </c>
      <c r="U21" s="84">
        <v>42</v>
      </c>
      <c r="V21" s="84">
        <f>19488/2</f>
        <v>9744</v>
      </c>
      <c r="W21" s="81">
        <f>T21*'Factors &amp; Percentages'!$E$16+U21*'Factors &amp; Percentages'!$E$17+V21*'Factors &amp; Percentages'!$E$18</f>
        <v>4733.3629781703485</v>
      </c>
      <c r="X21" s="113"/>
      <c r="Y21" s="81">
        <f t="shared" si="23"/>
        <v>13192.882429296005</v>
      </c>
      <c r="Z21" s="85">
        <f t="shared" si="24"/>
        <v>13192.882429296005</v>
      </c>
      <c r="AA21" s="80">
        <f>IF($AE21&gt;$Z21,$AE21*(1+'Factors &amp; Percentages'!$B$3),
IF($Y21&gt;$Z21,$Z21,
IF($Y21&gt;$AE21,$Y21,
$AE21*(1+'Factors &amp; Percentages'!$B$3))))*0.4</f>
        <v>5277.1529717184021</v>
      </c>
      <c r="AB21" s="80">
        <f t="shared" si="25"/>
        <v>5277.1529717184021</v>
      </c>
      <c r="AC21" s="85"/>
      <c r="AD21" s="80">
        <f t="shared" si="26"/>
        <v>5277.1529717184021</v>
      </c>
      <c r="AE21" s="86">
        <v>4912</v>
      </c>
      <c r="AF21" s="87"/>
      <c r="AG21" s="88"/>
      <c r="AH21" s="88"/>
      <c r="AI21" s="88"/>
      <c r="AJ21" s="5"/>
    </row>
    <row r="22" spans="1:36" s="89" customFormat="1" x14ac:dyDescent="0.3">
      <c r="A22" s="90"/>
      <c r="B22" s="78"/>
      <c r="C22" s="78"/>
      <c r="D22" s="79"/>
      <c r="E22" s="80"/>
      <c r="F22" s="80"/>
      <c r="G22" s="80"/>
      <c r="H22" s="80"/>
      <c r="I22" s="80"/>
      <c r="J22" s="80"/>
      <c r="K22" s="80"/>
      <c r="L22" s="80"/>
      <c r="M22" s="81"/>
      <c r="N22" s="81"/>
      <c r="O22" s="81"/>
      <c r="P22" s="82"/>
      <c r="Q22" s="81"/>
      <c r="R22" s="83"/>
      <c r="S22" s="81"/>
      <c r="T22" s="84"/>
      <c r="U22" s="84"/>
      <c r="V22" s="84"/>
      <c r="W22" s="81"/>
      <c r="X22" s="113"/>
      <c r="Y22" s="81"/>
      <c r="Z22" s="85"/>
      <c r="AA22" s="80"/>
      <c r="AB22" s="80"/>
      <c r="AC22" s="85"/>
      <c r="AD22" s="80"/>
      <c r="AE22" s="86"/>
      <c r="AF22" s="87"/>
      <c r="AG22" s="88"/>
      <c r="AH22" s="88"/>
      <c r="AI22" s="88"/>
      <c r="AJ22" s="5"/>
    </row>
    <row r="23" spans="1:36" ht="15" thickBot="1" x14ac:dyDescent="0.35">
      <c r="E23" s="44">
        <f>SUM(E3:E21)</f>
        <v>415658.82138766797</v>
      </c>
      <c r="F23" s="41"/>
      <c r="G23" s="52">
        <f t="shared" ref="G23:Z23" si="28">SUM(G3:G22)</f>
        <v>606047</v>
      </c>
      <c r="H23" s="60">
        <f t="shared" si="28"/>
        <v>713134</v>
      </c>
      <c r="I23" s="52">
        <f t="shared" si="28"/>
        <v>546083</v>
      </c>
      <c r="J23" s="60">
        <f t="shared" si="28"/>
        <v>726116</v>
      </c>
      <c r="K23" s="50">
        <f>SUM(K3:K22)</f>
        <v>52493</v>
      </c>
      <c r="L23" s="41"/>
      <c r="M23" s="60">
        <f t="shared" si="28"/>
        <v>718383.29999999993</v>
      </c>
      <c r="N23" s="52">
        <f t="shared" si="28"/>
        <v>618694.6</v>
      </c>
      <c r="O23" s="47">
        <f t="shared" si="28"/>
        <v>94138.910260276607</v>
      </c>
      <c r="P23" s="67">
        <f t="shared" si="28"/>
        <v>10.199999999999999</v>
      </c>
      <c r="Q23" s="47">
        <f t="shared" si="28"/>
        <v>111848.87306992119</v>
      </c>
      <c r="R23" s="67">
        <f t="shared" si="28"/>
        <v>54410</v>
      </c>
      <c r="S23" s="47">
        <f t="shared" si="28"/>
        <v>96614.777250601182</v>
      </c>
      <c r="T23" s="67">
        <f t="shared" si="28"/>
        <v>533</v>
      </c>
      <c r="U23" s="68">
        <f t="shared" si="28"/>
        <v>1174</v>
      </c>
      <c r="V23" s="67">
        <f t="shared" si="28"/>
        <v>101444</v>
      </c>
      <c r="W23" s="47">
        <f t="shared" si="28"/>
        <v>99690.710604514272</v>
      </c>
      <c r="X23" s="115"/>
      <c r="Y23" s="52">
        <f t="shared" si="28"/>
        <v>402293.27118531324</v>
      </c>
      <c r="Z23" s="60">
        <f t="shared" si="28"/>
        <v>377340.15188465617</v>
      </c>
      <c r="AA23" s="56">
        <f>SUM(AA3:AA21)</f>
        <v>415658.82138766797</v>
      </c>
      <c r="AB23" s="74">
        <f>SUM(AB3:AB21)</f>
        <v>415658.82138766797</v>
      </c>
      <c r="AC23" s="29"/>
      <c r="AD23" s="44">
        <f>SUM(AD3:AD21)</f>
        <v>415658.82138766797</v>
      </c>
      <c r="AE23" s="56">
        <f>SUM(AE3:AE21)</f>
        <v>347231</v>
      </c>
      <c r="AF23" s="36"/>
      <c r="AG23" s="37"/>
      <c r="AH23" s="37"/>
      <c r="AI23" s="37"/>
      <c r="AJ23" s="6"/>
    </row>
    <row r="24" spans="1:36" ht="15" hidden="1" thickTop="1" x14ac:dyDescent="0.3"/>
  </sheetData>
  <sheetProtection algorithmName="SHA-512" hashValue="xx8vv+LcPflR3dCQSpc6P+mY9UKuiPphauqNIyzCS7V/Th8rcTxXD6hFi/5x2pKE2j7Mk0FDrR/slIGe5w06dg==" saltValue="cDmwkcHcaHzdeAmSXAL9Qw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zoomScaleNormal="100" workbookViewId="0">
      <selection activeCell="B6" sqref="B6"/>
    </sheetView>
  </sheetViews>
  <sheetFormatPr defaultColWidth="0" defaultRowHeight="14.4" zeroHeight="1" x14ac:dyDescent="0.3"/>
  <cols>
    <col min="1" max="1" width="99.88671875" bestFit="1" customWidth="1"/>
    <col min="2" max="2" width="21.6640625" bestFit="1" customWidth="1"/>
    <col min="3" max="3" width="19.109375" bestFit="1" customWidth="1"/>
    <col min="4" max="4" width="17.33203125" bestFit="1" customWidth="1"/>
    <col min="5" max="5" width="17.5546875" customWidth="1"/>
    <col min="6" max="6" width="9.33203125" hidden="1" customWidth="1"/>
    <col min="7" max="7" width="29.88671875" hidden="1" customWidth="1"/>
    <col min="8" max="8" width="8.88671875" hidden="1" customWidth="1"/>
    <col min="9" max="9" width="6.5546875" hidden="1" customWidth="1"/>
    <col min="10" max="10" width="10.44140625" hidden="1" customWidth="1"/>
    <col min="11" max="11" width="0" hidden="1" customWidth="1"/>
    <col min="12" max="16384" width="8.88671875" hidden="1"/>
  </cols>
  <sheetData>
    <row r="1" spans="1:11" x14ac:dyDescent="0.3">
      <c r="A1" s="14" t="s">
        <v>269</v>
      </c>
      <c r="E1" s="1"/>
      <c r="F1" s="1"/>
      <c r="I1" s="1"/>
      <c r="J1" s="1"/>
      <c r="K1" s="1"/>
    </row>
    <row r="2" spans="1:11" x14ac:dyDescent="0.3">
      <c r="A2" s="2" t="s">
        <v>270</v>
      </c>
      <c r="B2" s="27">
        <v>5150311.637596135</v>
      </c>
      <c r="E2" s="1"/>
      <c r="F2" s="1"/>
      <c r="I2" s="1"/>
      <c r="J2" s="1"/>
      <c r="K2" s="1"/>
    </row>
    <row r="3" spans="1:11" x14ac:dyDescent="0.3">
      <c r="A3" s="2" t="s">
        <v>0</v>
      </c>
      <c r="B3" s="28">
        <v>0.05</v>
      </c>
      <c r="E3" s="1"/>
      <c r="F3" s="1"/>
      <c r="I3" s="1"/>
      <c r="J3" s="1"/>
      <c r="K3" s="1"/>
    </row>
    <row r="4" spans="1:11" x14ac:dyDescent="0.3">
      <c r="A4" s="2"/>
      <c r="B4" s="28"/>
      <c r="E4" s="1"/>
      <c r="F4" s="1"/>
      <c r="I4" s="1"/>
      <c r="J4" s="1"/>
      <c r="K4" s="1"/>
    </row>
    <row r="5" spans="1:11" ht="43.2" x14ac:dyDescent="0.3">
      <c r="A5" s="2" t="s">
        <v>247</v>
      </c>
      <c r="B5" s="15" t="s">
        <v>230</v>
      </c>
      <c r="C5" s="38" t="s">
        <v>249</v>
      </c>
      <c r="D5" s="38" t="s">
        <v>250</v>
      </c>
      <c r="E5" s="38" t="s">
        <v>235</v>
      </c>
      <c r="I5" s="1"/>
      <c r="J5" s="1"/>
      <c r="K5" s="1"/>
    </row>
    <row r="6" spans="1:11" x14ac:dyDescent="0.3">
      <c r="A6" s="1" t="s">
        <v>229</v>
      </c>
      <c r="B6" s="16">
        <v>0.15</v>
      </c>
      <c r="C6" s="17">
        <f>+$C$21*B6</f>
        <v>772546.74563942023</v>
      </c>
      <c r="D6" s="17">
        <f>+'Diocese Base Data Sheet'!M212</f>
        <v>9582953.9999999981</v>
      </c>
      <c r="E6" s="39">
        <f>+C6/D6</f>
        <v>8.0616764479869193E-2</v>
      </c>
      <c r="I6" s="1"/>
      <c r="J6" s="1"/>
      <c r="K6" s="1"/>
    </row>
    <row r="7" spans="1:11" x14ac:dyDescent="0.3">
      <c r="A7" s="1" t="s">
        <v>271</v>
      </c>
      <c r="B7" s="16">
        <v>0.1</v>
      </c>
      <c r="C7" s="17">
        <f>+$C$21*B7</f>
        <v>515031.16375961353</v>
      </c>
      <c r="D7" s="17">
        <f>+'Diocese Base Data Sheet'!N212</f>
        <v>8796286.5000000075</v>
      </c>
      <c r="E7" s="39">
        <f>+C7/D7</f>
        <v>5.8550976455759268E-2</v>
      </c>
      <c r="G7" s="13"/>
      <c r="H7" s="1"/>
      <c r="I7" s="1"/>
      <c r="J7" s="1"/>
      <c r="K7" s="1"/>
    </row>
    <row r="8" spans="1:11" ht="15" thickBot="1" x14ac:dyDescent="0.35">
      <c r="A8" s="18"/>
      <c r="B8" s="16"/>
      <c r="C8" s="21">
        <f>SUM(C6:C7)</f>
        <v>1287577.9093990338</v>
      </c>
      <c r="D8" s="21">
        <f>SUM(D6:D7)</f>
        <v>18379240.500000007</v>
      </c>
      <c r="E8" s="25"/>
      <c r="G8" s="13"/>
      <c r="H8" s="1"/>
      <c r="I8" s="1"/>
      <c r="J8" s="1"/>
      <c r="K8" s="1"/>
    </row>
    <row r="9" spans="1:11" ht="15" thickTop="1" x14ac:dyDescent="0.3">
      <c r="A9" s="2" t="s">
        <v>1</v>
      </c>
      <c r="B9" s="19"/>
      <c r="C9" s="1"/>
      <c r="E9" s="26"/>
      <c r="G9" s="1"/>
      <c r="H9" s="1"/>
      <c r="I9" s="1"/>
      <c r="J9" s="1"/>
      <c r="K9" s="1"/>
    </row>
    <row r="10" spans="1:11" ht="15" thickBot="1" x14ac:dyDescent="0.35">
      <c r="A10" s="1" t="s">
        <v>2</v>
      </c>
      <c r="B10" s="16">
        <v>0.25</v>
      </c>
      <c r="C10" s="21">
        <f>+$C$21*B10</f>
        <v>1287577.9093990338</v>
      </c>
      <c r="D10" s="24">
        <f>+'Diocese Base Data Sheet'!P212</f>
        <v>117.41999999999999</v>
      </c>
      <c r="E10" s="39">
        <f>+C10/D10</f>
        <v>10965.575791168743</v>
      </c>
      <c r="G10" s="1"/>
      <c r="H10" s="1"/>
      <c r="I10" s="1"/>
      <c r="J10" s="1"/>
      <c r="K10" s="1"/>
    </row>
    <row r="11" spans="1:11" ht="15" thickTop="1" x14ac:dyDescent="0.3">
      <c r="A11" s="1"/>
      <c r="B11" s="16"/>
      <c r="C11" s="17"/>
      <c r="E11" s="26"/>
      <c r="G11" s="1"/>
      <c r="H11" s="1"/>
      <c r="I11" s="1"/>
      <c r="J11" s="1"/>
      <c r="K11" s="1"/>
    </row>
    <row r="12" spans="1:11" x14ac:dyDescent="0.3">
      <c r="A12" s="2" t="s">
        <v>3</v>
      </c>
      <c r="B12" s="19"/>
      <c r="C12" s="1"/>
      <c r="E12" s="26"/>
      <c r="G12" s="1"/>
      <c r="H12" s="1"/>
      <c r="I12" s="1"/>
      <c r="J12" s="1"/>
      <c r="K12" s="1"/>
    </row>
    <row r="13" spans="1:11" ht="15" thickBot="1" x14ac:dyDescent="0.35">
      <c r="A13" s="1" t="s">
        <v>244</v>
      </c>
      <c r="B13" s="16">
        <v>0.25</v>
      </c>
      <c r="C13" s="21">
        <f>+$C$21*B13</f>
        <v>1287577.9093990338</v>
      </c>
      <c r="D13" s="24">
        <f>+'Diocese Base Data Sheet'!R212</f>
        <v>725118</v>
      </c>
      <c r="E13" s="25">
        <f>+C13/D13</f>
        <v>1.7756805228928723</v>
      </c>
      <c r="G13" s="1"/>
      <c r="H13" s="1"/>
      <c r="I13" s="1"/>
      <c r="J13" s="1"/>
      <c r="K13" s="1"/>
    </row>
    <row r="14" spans="1:11" ht="15" thickTop="1" x14ac:dyDescent="0.3">
      <c r="A14" s="1"/>
      <c r="B14" s="16"/>
      <c r="C14" s="17"/>
      <c r="E14" s="25"/>
      <c r="G14" s="1"/>
      <c r="H14" s="1"/>
      <c r="I14" s="1"/>
      <c r="J14" s="1"/>
      <c r="K14" s="1"/>
    </row>
    <row r="15" spans="1:11" x14ac:dyDescent="0.3">
      <c r="A15" s="2" t="s">
        <v>4</v>
      </c>
      <c r="B15" s="19"/>
      <c r="C15" s="1"/>
      <c r="E15" s="26"/>
      <c r="G15" s="1"/>
      <c r="H15" s="1"/>
      <c r="I15" s="1"/>
      <c r="J15" s="1"/>
      <c r="K15" s="1"/>
    </row>
    <row r="16" spans="1:11" x14ac:dyDescent="0.3">
      <c r="A16" s="1" t="s">
        <v>248</v>
      </c>
      <c r="B16" s="16">
        <v>0.15</v>
      </c>
      <c r="C16" s="17">
        <f>+$C$21*B16</f>
        <v>772546.74563942023</v>
      </c>
      <c r="D16" s="23">
        <f>+'Diocese Base Data Sheet'!T212</f>
        <v>6746</v>
      </c>
      <c r="E16" s="39">
        <f>+C16/D16</f>
        <v>114.51923297352805</v>
      </c>
      <c r="G16" s="1"/>
      <c r="H16" s="1"/>
      <c r="I16" s="1"/>
      <c r="J16" s="1"/>
      <c r="K16" s="1"/>
    </row>
    <row r="17" spans="1:11" x14ac:dyDescent="0.3">
      <c r="A17" s="1" t="s">
        <v>245</v>
      </c>
      <c r="B17" s="16">
        <v>0.05</v>
      </c>
      <c r="C17" s="17">
        <f>+$C$21*B17</f>
        <v>257515.58187980676</v>
      </c>
      <c r="D17" s="23">
        <f>+'Diocese Base Data Sheet'!U212</f>
        <v>14353</v>
      </c>
      <c r="E17" s="39">
        <f>+C17/D17</f>
        <v>17.941585862175625</v>
      </c>
      <c r="G17" s="1"/>
      <c r="H17" s="1"/>
      <c r="I17" s="1"/>
      <c r="J17" s="1"/>
      <c r="K17" s="1"/>
    </row>
    <row r="18" spans="1:11" x14ac:dyDescent="0.3">
      <c r="A18" s="1" t="s">
        <v>246</v>
      </c>
      <c r="B18" s="16">
        <v>0.05</v>
      </c>
      <c r="C18" s="17">
        <f>+$C$21*B18</f>
        <v>257515.58187980676</v>
      </c>
      <c r="D18" s="23">
        <f>+'Diocese Base Data Sheet'!V212</f>
        <v>1485252</v>
      </c>
      <c r="E18" s="39">
        <f>+C18/D18</f>
        <v>0.17338174389248878</v>
      </c>
      <c r="G18" s="1"/>
      <c r="H18" s="1"/>
      <c r="I18" s="1"/>
      <c r="J18" s="1"/>
      <c r="K18" s="1"/>
    </row>
    <row r="19" spans="1:11" ht="15" thickBot="1" x14ac:dyDescent="0.35">
      <c r="A19" s="1"/>
      <c r="B19" s="16"/>
      <c r="C19" s="21">
        <f>SUM(C16:C18)</f>
        <v>1287577.9093990338</v>
      </c>
      <c r="D19" s="23"/>
      <c r="E19" s="25"/>
      <c r="G19" s="1"/>
      <c r="H19" s="1"/>
      <c r="I19" s="1"/>
      <c r="J19" s="1"/>
      <c r="K19" s="1"/>
    </row>
    <row r="20" spans="1:11" ht="15" thickTop="1" x14ac:dyDescent="0.3">
      <c r="A20" s="1"/>
      <c r="B20" s="16"/>
      <c r="C20" s="17"/>
      <c r="D20" s="23"/>
      <c r="E20" s="25"/>
      <c r="G20" s="1"/>
      <c r="H20" s="1"/>
      <c r="I20" s="1"/>
      <c r="J20" s="1"/>
      <c r="K20" s="1"/>
    </row>
    <row r="21" spans="1:11" ht="15" thickBot="1" x14ac:dyDescent="0.35">
      <c r="A21" s="20" t="s">
        <v>228</v>
      </c>
      <c r="B21" s="22">
        <v>1</v>
      </c>
      <c r="C21" s="21">
        <f>+B2</f>
        <v>5150311.637596135</v>
      </c>
      <c r="G21" s="1"/>
      <c r="H21" s="1"/>
      <c r="I21" s="1"/>
      <c r="J21" s="1"/>
      <c r="K21" s="1"/>
    </row>
    <row r="22" spans="1:11" ht="15" thickTop="1" x14ac:dyDescent="0.3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</row>
    <row r="23" spans="1:11" hidden="1" x14ac:dyDescent="0.3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</row>
    <row r="24" spans="1:11" hidden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idden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idden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idden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idden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idden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idden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protectedRanges>
    <protectedRange sqref="B1:B21" name="Range2"/>
    <protectedRange algorithmName="SHA-512" hashValue="AsPn3EKyOjAE9zlSt+Mbi2RoVkRr7mJt8clC7W2X+1FfrezcKBIud0Rw0Rf1Ta1zj/TdYx9qOffWQpkMjQO1hg==" saltValue="p3sE/SfkhzuEYhrvUqPqjQ==" spinCount="100000" sqref="C1:E22" name="Range1"/>
  </protectedRange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8EB3-7E61-4A5C-98CE-D92295E9E044}">
  <dimension ref="A1:AV19"/>
  <sheetViews>
    <sheetView zoomScale="90" zoomScaleNormal="90" workbookViewId="0">
      <pane xSplit="4" ySplit="2" topLeftCell="E3" activePane="bottomRight" state="frozen"/>
      <selection activeCell="C194" sqref="C194"/>
      <selection pane="topRight" activeCell="C194" sqref="C194"/>
      <selection pane="bottomLeft" activeCell="C194" sqref="C194"/>
      <selection pane="bottomRight" activeCell="C12" sqref="C12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202</v>
      </c>
      <c r="B3" s="78" t="s">
        <v>43</v>
      </c>
      <c r="C3" s="78" t="s">
        <v>201</v>
      </c>
      <c r="D3" s="79"/>
      <c r="E3" s="80">
        <f t="shared" ref="E3:E6" si="0">+AB3</f>
        <v>37099.279793634749</v>
      </c>
      <c r="F3" s="80"/>
      <c r="G3" s="80">
        <f>96539-22506</f>
        <v>74033</v>
      </c>
      <c r="H3" s="80">
        <v>91854</v>
      </c>
      <c r="I3" s="80">
        <v>40708</v>
      </c>
      <c r="J3" s="80">
        <v>36918</v>
      </c>
      <c r="K3" s="80">
        <v>5240</v>
      </c>
      <c r="L3" s="80"/>
      <c r="M3" s="81">
        <f t="shared" ref="M3:M6" si="1">H3+K3*0.1</f>
        <v>92378</v>
      </c>
      <c r="N3" s="81">
        <f t="shared" ref="N3:N6" si="2">I3+0.1*J3</f>
        <v>44399.8</v>
      </c>
      <c r="O3" s="81">
        <f>SUM(M3*'Factors &amp; Percentages'!$E$6+N3*'Factors &amp; Percentages'!$E$7)</f>
        <v>10046.867113561777</v>
      </c>
      <c r="P3" s="82">
        <v>1</v>
      </c>
      <c r="Q3" s="81">
        <f>P3*'Factors &amp; Percentages'!$E$10</f>
        <v>10965.575791168743</v>
      </c>
      <c r="R3" s="83">
        <v>3200</v>
      </c>
      <c r="S3" s="81">
        <f>R3*'Factors &amp; Percentages'!$E$13</f>
        <v>5682.1776732571916</v>
      </c>
      <c r="T3" s="84">
        <v>55</v>
      </c>
      <c r="U3" s="84">
        <v>130</v>
      </c>
      <c r="V3" s="84">
        <v>10230</v>
      </c>
      <c r="W3" s="81">
        <f>T3*'Factors &amp; Percentages'!$E$16+U3*'Factors &amp; Percentages'!$E$17+V3*'Factors &amp; Percentages'!$E$18</f>
        <v>10404.659215647034</v>
      </c>
      <c r="X3" s="113"/>
      <c r="Y3" s="81">
        <f t="shared" ref="Y3:Y6" si="3">O3+Q3+S3+W3</f>
        <v>37099.279793634749</v>
      </c>
      <c r="Z3" s="85">
        <f t="shared" ref="Z3:Z6" si="4">IF($I3&gt;($H3+$G3)/2,$Y3,MIN(Y3,$H3*0.65))</f>
        <v>37099.279793634749</v>
      </c>
      <c r="AA3" s="80">
        <f>IF($AE3&gt;$Z3,$AE3*(1+'Factors &amp; Percentages'!$B$3),IF($Y3&gt;$Z3,$Z3,IF($Y3&gt;$AE3,$Y3,$AE3*(1+'Factors &amp; Percentages'!$B$3))))</f>
        <v>37099.279793634749</v>
      </c>
      <c r="AB3" s="80">
        <f t="shared" ref="AB3:AB6" si="5">MIN(AA3,+P3*2*88928)</f>
        <v>37099.279793634749</v>
      </c>
      <c r="AC3" s="85"/>
      <c r="AD3" s="80">
        <f t="shared" ref="AD3:AD6" si="6">AB3</f>
        <v>37099.279793634749</v>
      </c>
      <c r="AE3" s="86">
        <v>25000</v>
      </c>
      <c r="AF3" s="87"/>
      <c r="AG3" s="88"/>
      <c r="AH3" s="88"/>
      <c r="AI3" s="88"/>
      <c r="AJ3" s="5"/>
    </row>
    <row r="4" spans="1:36" x14ac:dyDescent="0.3">
      <c r="A4" s="91" t="s">
        <v>203</v>
      </c>
      <c r="B4" s="76" t="s">
        <v>43</v>
      </c>
      <c r="C4" s="76" t="s">
        <v>201</v>
      </c>
      <c r="D4" s="31"/>
      <c r="E4" s="43">
        <f t="shared" si="0"/>
        <v>20088.361778147435</v>
      </c>
      <c r="F4" s="29"/>
      <c r="G4" s="51">
        <v>37377</v>
      </c>
      <c r="H4" s="59">
        <v>37377</v>
      </c>
      <c r="I4" s="51">
        <v>42712</v>
      </c>
      <c r="J4" s="59">
        <v>0</v>
      </c>
      <c r="K4" s="49">
        <v>0</v>
      </c>
      <c r="L4" s="29"/>
      <c r="M4" s="62">
        <f t="shared" si="1"/>
        <v>37377</v>
      </c>
      <c r="N4" s="58">
        <f t="shared" si="2"/>
        <v>42712</v>
      </c>
      <c r="O4" s="46">
        <f>SUM(M4*'Factors &amp; Percentages'!$E$6+N4*'Factors &amp; Percentages'!$E$7)</f>
        <v>5514.0421123424603</v>
      </c>
      <c r="P4" s="65">
        <v>0.5</v>
      </c>
      <c r="Q4" s="46">
        <f>P4*'Factors &amp; Percentages'!$E$10</f>
        <v>5482.7878955843717</v>
      </c>
      <c r="R4" s="69">
        <v>982</v>
      </c>
      <c r="S4" s="46">
        <f>R4*'Factors &amp; Percentages'!$E$13</f>
        <v>1743.7182734808005</v>
      </c>
      <c r="T4" s="63">
        <v>45</v>
      </c>
      <c r="U4" s="64">
        <v>89</v>
      </c>
      <c r="V4" s="63">
        <v>3447</v>
      </c>
      <c r="W4" s="46">
        <f>T4*'Factors &amp; Percentages'!$E$16+U4*'Factors &amp; Percentages'!$E$17+V4*'Factors &amp; Percentages'!$E$18</f>
        <v>7347.8134967398018</v>
      </c>
      <c r="X4" s="114"/>
      <c r="Y4" s="58">
        <f t="shared" si="3"/>
        <v>20088.361778147435</v>
      </c>
      <c r="Z4" s="71">
        <f t="shared" si="4"/>
        <v>20088.361778147435</v>
      </c>
      <c r="AA4" s="51">
        <f>IF($AE4&gt;$Z4,$AE4*(1+'Factors &amp; Percentages'!$B$3),IF($Y4&gt;$Z4,$Z4,IF($Y4&gt;$AE4,$Y4,$AE4*(1+'Factors &amp; Percentages'!$B$3))))</f>
        <v>20088.361778147435</v>
      </c>
      <c r="AB4" s="59">
        <f t="shared" si="5"/>
        <v>20088.361778147435</v>
      </c>
      <c r="AC4" s="42"/>
      <c r="AD4" s="43">
        <f t="shared" si="6"/>
        <v>20088.361778147435</v>
      </c>
      <c r="AE4" s="75">
        <v>2500</v>
      </c>
      <c r="AF4" s="32"/>
      <c r="AG4" s="33"/>
      <c r="AH4" s="33"/>
      <c r="AI4" s="33"/>
      <c r="AJ4" s="5"/>
    </row>
    <row r="5" spans="1:36" s="89" customFormat="1" x14ac:dyDescent="0.3">
      <c r="A5" s="90" t="s">
        <v>204</v>
      </c>
      <c r="B5" s="78" t="s">
        <v>43</v>
      </c>
      <c r="C5" s="78" t="s">
        <v>201</v>
      </c>
      <c r="D5" s="79"/>
      <c r="E5" s="80">
        <f t="shared" si="0"/>
        <v>35516.12650780251</v>
      </c>
      <c r="F5" s="80"/>
      <c r="G5" s="80">
        <v>33780</v>
      </c>
      <c r="H5" s="80">
        <v>46747</v>
      </c>
      <c r="I5" s="80">
        <v>71444</v>
      </c>
      <c r="J5" s="80">
        <v>2763</v>
      </c>
      <c r="K5" s="80">
        <v>565</v>
      </c>
      <c r="L5" s="80"/>
      <c r="M5" s="81">
        <f t="shared" si="1"/>
        <v>46803.5</v>
      </c>
      <c r="N5" s="81">
        <f t="shared" si="2"/>
        <v>71720.3</v>
      </c>
      <c r="O5" s="81">
        <f>SUM(M5*'Factors &amp; Percentages'!$E$6+N5*'Factors &amp; Percentages'!$E$7)</f>
        <v>7972.440333033549</v>
      </c>
      <c r="P5" s="82">
        <v>1</v>
      </c>
      <c r="Q5" s="81">
        <f>P5*'Factors &amp; Percentages'!$E$10</f>
        <v>10965.575791168743</v>
      </c>
      <c r="R5" s="83">
        <v>4300</v>
      </c>
      <c r="S5" s="81">
        <f>R5*'Factors &amp; Percentages'!$E$13</f>
        <v>7635.4262484393503</v>
      </c>
      <c r="T5" s="84">
        <v>40</v>
      </c>
      <c r="U5" s="84">
        <v>108</v>
      </c>
      <c r="V5" s="84">
        <v>13982</v>
      </c>
      <c r="W5" s="81">
        <f>T5*'Factors &amp; Percentages'!$E$16+U5*'Factors &amp; Percentages'!$E$17+V5*'Factors &amp; Percentages'!$E$18</f>
        <v>8942.6841351608673</v>
      </c>
      <c r="X5" s="113"/>
      <c r="Y5" s="81">
        <f t="shared" si="3"/>
        <v>35516.12650780251</v>
      </c>
      <c r="Z5" s="85">
        <f t="shared" si="4"/>
        <v>35516.12650780251</v>
      </c>
      <c r="AA5" s="80">
        <f>IF($AE5&gt;$Z5,$AE5*(1+'Factors &amp; Percentages'!$B$3),IF($Y5&gt;$Z5,$Z5,IF($Y5&gt;$AE5,$Y5,$AE5*(1+'Factors &amp; Percentages'!$B$3))))</f>
        <v>35516.12650780251</v>
      </c>
      <c r="AB5" s="80">
        <f t="shared" si="5"/>
        <v>35516.12650780251</v>
      </c>
      <c r="AC5" s="85"/>
      <c r="AD5" s="80">
        <f t="shared" si="6"/>
        <v>35516.12650780251</v>
      </c>
      <c r="AE5" s="86">
        <v>16000</v>
      </c>
      <c r="AF5" s="87"/>
      <c r="AG5" s="88"/>
      <c r="AH5" s="88"/>
      <c r="AI5" s="88"/>
      <c r="AJ5" s="5"/>
    </row>
    <row r="6" spans="1:36" x14ac:dyDescent="0.3">
      <c r="A6" s="91" t="s">
        <v>205</v>
      </c>
      <c r="B6" s="76" t="s">
        <v>43</v>
      </c>
      <c r="C6" s="76" t="s">
        <v>201</v>
      </c>
      <c r="D6" s="31"/>
      <c r="E6" s="43">
        <f t="shared" si="0"/>
        <v>10808.2</v>
      </c>
      <c r="F6" s="29"/>
      <c r="G6" s="51">
        <v>15423</v>
      </c>
      <c r="H6" s="59">
        <v>16628</v>
      </c>
      <c r="I6" s="51">
        <v>8182</v>
      </c>
      <c r="J6" s="59">
        <v>30314</v>
      </c>
      <c r="K6" s="49">
        <v>11103</v>
      </c>
      <c r="L6" s="29"/>
      <c r="M6" s="62">
        <f t="shared" si="1"/>
        <v>17738.3</v>
      </c>
      <c r="N6" s="58">
        <f t="shared" si="2"/>
        <v>11213.4</v>
      </c>
      <c r="O6" s="46">
        <f>SUM(M6*'Factors &amp; Percentages'!$E$6+N6*'Factors &amp; Percentages'!$E$7)</f>
        <v>2086.5598727622746</v>
      </c>
      <c r="P6" s="65">
        <v>0.5</v>
      </c>
      <c r="Q6" s="46">
        <f>P6*'Factors &amp; Percentages'!$E$10</f>
        <v>5482.7878955843717</v>
      </c>
      <c r="R6" s="69">
        <v>270</v>
      </c>
      <c r="S6" s="46">
        <f>R6*'Factors &amp; Percentages'!$E$13</f>
        <v>479.4337411810755</v>
      </c>
      <c r="T6" s="63">
        <v>35</v>
      </c>
      <c r="U6" s="64">
        <v>31</v>
      </c>
      <c r="V6" s="63">
        <v>5619</v>
      </c>
      <c r="W6" s="46">
        <f>T6*'Factors &amp; Percentages'!$E$16+U6*'Factors &amp; Percentages'!$E$17+V6*'Factors &amp; Percentages'!$E$18</f>
        <v>5538.5943347328202</v>
      </c>
      <c r="X6" s="114"/>
      <c r="Y6" s="58">
        <f t="shared" si="3"/>
        <v>13587.375844260543</v>
      </c>
      <c r="Z6" s="71">
        <f t="shared" si="4"/>
        <v>10808.2</v>
      </c>
      <c r="AA6" s="51">
        <f>IF($AE6&gt;$Z6,$AE6*(1+'Factors &amp; Percentages'!$B$3),IF($Y6&gt;$Z6,$Z6,IF($Y6&gt;$AE6,$Y6,$AE6*(1+'Factors &amp; Percentages'!$B$3))))</f>
        <v>10808.2</v>
      </c>
      <c r="AB6" s="59">
        <f t="shared" si="5"/>
        <v>10808.2</v>
      </c>
      <c r="AC6" s="42"/>
      <c r="AD6" s="43">
        <f t="shared" si="6"/>
        <v>10808.2</v>
      </c>
      <c r="AE6" s="75">
        <v>5750</v>
      </c>
      <c r="AF6" s="32"/>
      <c r="AG6" s="33"/>
      <c r="AH6" s="33"/>
      <c r="AI6" s="33"/>
      <c r="AJ6" s="5"/>
    </row>
    <row r="7" spans="1:36" s="89" customFormat="1" x14ac:dyDescent="0.3">
      <c r="A7" s="90" t="s">
        <v>206</v>
      </c>
      <c r="B7" s="78" t="s">
        <v>43</v>
      </c>
      <c r="C7" s="78" t="s">
        <v>201</v>
      </c>
      <c r="D7" s="79"/>
      <c r="E7" s="80">
        <f t="shared" ref="E7:E8" si="7">+AB7</f>
        <v>25697.7</v>
      </c>
      <c r="F7" s="80"/>
      <c r="G7" s="80">
        <f>53860-16208</f>
        <v>37652</v>
      </c>
      <c r="H7" s="80">
        <v>45436</v>
      </c>
      <c r="I7" s="80">
        <v>32540</v>
      </c>
      <c r="J7" s="80">
        <v>71751</v>
      </c>
      <c r="K7" s="80">
        <v>570</v>
      </c>
      <c r="L7" s="80"/>
      <c r="M7" s="81">
        <f t="shared" ref="M7:M8" si="8">H7+K7*0.1</f>
        <v>45493</v>
      </c>
      <c r="N7" s="81">
        <f t="shared" ref="N7:N8" si="9">I7+0.1*J7</f>
        <v>39715.1</v>
      </c>
      <c r="O7" s="81">
        <f>SUM(M7*'Factors &amp; Percentages'!$E$6+N7*'Factors &amp; Percentages'!$E$7)</f>
        <v>5992.8563515208143</v>
      </c>
      <c r="P7" s="82">
        <v>0.5</v>
      </c>
      <c r="Q7" s="81">
        <f>P7*'Factors &amp; Percentages'!$E$10</f>
        <v>5482.7878955843717</v>
      </c>
      <c r="R7" s="83">
        <v>1527</v>
      </c>
      <c r="S7" s="81">
        <f>R7*'Factors &amp; Percentages'!$E$13</f>
        <v>2711.464158457416</v>
      </c>
      <c r="T7" s="84">
        <v>57</v>
      </c>
      <c r="U7" s="84">
        <v>86</v>
      </c>
      <c r="V7" s="84">
        <v>7317</v>
      </c>
      <c r="W7" s="81">
        <f>T7*'Factors &amp; Percentages'!$E$16+U7*'Factors &amp; Percentages'!$E$17+V7*'Factors &amp; Percentages'!$E$18</f>
        <v>9339.2068836995422</v>
      </c>
      <c r="X7" s="113"/>
      <c r="Y7" s="81">
        <f t="shared" ref="Y7:Y8" si="10">O7+Q7+S7+W7</f>
        <v>23526.315289262144</v>
      </c>
      <c r="Z7" s="85">
        <f t="shared" ref="Z7:Z8" si="11">IF($I7&gt;($H7+$G7)/2,$Y7,MIN(Y7,$H7*0.65))</f>
        <v>23526.315289262144</v>
      </c>
      <c r="AA7" s="80">
        <f>IF($AE7&gt;$Z7,$AE7*(1+'Factors &amp; Percentages'!$B$3),IF($Y7&gt;$Z7,$Z7,IF($Y7&gt;$AE7,$Y7,$AE7*(1+'Factors &amp; Percentages'!$B$3))))</f>
        <v>25697.7</v>
      </c>
      <c r="AB7" s="80">
        <f t="shared" ref="AB7:AB8" si="12">MIN(AA7,+P7*2*88928)</f>
        <v>25697.7</v>
      </c>
      <c r="AC7" s="85"/>
      <c r="AD7" s="80">
        <f t="shared" ref="AD7:AD8" si="13">AB7</f>
        <v>25697.7</v>
      </c>
      <c r="AE7" s="86">
        <v>24474</v>
      </c>
      <c r="AF7" s="87"/>
      <c r="AG7" s="88"/>
      <c r="AH7" s="88"/>
      <c r="AI7" s="88"/>
      <c r="AJ7" s="5"/>
    </row>
    <row r="8" spans="1:36" x14ac:dyDescent="0.3">
      <c r="A8" s="91" t="s">
        <v>207</v>
      </c>
      <c r="B8" s="76" t="s">
        <v>43</v>
      </c>
      <c r="C8" s="76" t="s">
        <v>201</v>
      </c>
      <c r="D8" s="31"/>
      <c r="E8" s="43">
        <f t="shared" si="7"/>
        <v>20303.277583550655</v>
      </c>
      <c r="F8" s="29"/>
      <c r="G8" s="51">
        <f>52422-1642</f>
        <v>50780</v>
      </c>
      <c r="H8" s="59">
        <v>37330</v>
      </c>
      <c r="I8" s="51">
        <v>63224</v>
      </c>
      <c r="J8" s="59">
        <v>29881</v>
      </c>
      <c r="K8" s="49">
        <v>9350</v>
      </c>
      <c r="L8" s="29"/>
      <c r="M8" s="62">
        <f t="shared" si="8"/>
        <v>38265</v>
      </c>
      <c r="N8" s="58">
        <f t="shared" si="9"/>
        <v>66212.100000000006</v>
      </c>
      <c r="O8" s="46">
        <f>SUM(M8*'Factors &amp; Percentages'!$E$6+N8*'Factors &amp; Percentages'!$E$7)</f>
        <v>6961.5836010085732</v>
      </c>
      <c r="P8" s="65">
        <v>0.5</v>
      </c>
      <c r="Q8" s="46">
        <f>P8*'Factors &amp; Percentages'!$E$10</f>
        <v>5482.7878955843717</v>
      </c>
      <c r="R8" s="69">
        <v>70</v>
      </c>
      <c r="S8" s="46">
        <f>R8*'Factors &amp; Percentages'!$E$13</f>
        <v>124.29763660250106</v>
      </c>
      <c r="T8" s="63">
        <v>33</v>
      </c>
      <c r="U8" s="64">
        <v>118</v>
      </c>
      <c r="V8" s="63">
        <v>10603</v>
      </c>
      <c r="W8" s="46">
        <f>T8*'Factors &amp; Percentages'!$E$16+U8*'Factors &amp; Percentages'!$E$17+V8*'Factors &amp; Percentages'!$E$18</f>
        <v>7734.6084503552083</v>
      </c>
      <c r="X8" s="114"/>
      <c r="Y8" s="58">
        <f t="shared" si="10"/>
        <v>20303.277583550655</v>
      </c>
      <c r="Z8" s="71">
        <f t="shared" si="11"/>
        <v>20303.277583550655</v>
      </c>
      <c r="AA8" s="51">
        <f>IF($AE8&gt;$Z8,$AE8*(1+'Factors &amp; Percentages'!$B$3),IF($Y8&gt;$Z8,$Z8,IF($Y8&gt;$AE8,$Y8,$AE8*(1+'Factors &amp; Percentages'!$B$3))))</f>
        <v>20303.277583550655</v>
      </c>
      <c r="AB8" s="59">
        <f t="shared" si="12"/>
        <v>20303.277583550655</v>
      </c>
      <c r="AC8" s="42"/>
      <c r="AD8" s="43">
        <f t="shared" si="13"/>
        <v>20303.277583550655</v>
      </c>
      <c r="AE8" s="75">
        <v>10320</v>
      </c>
      <c r="AF8" s="32"/>
      <c r="AG8" s="33"/>
      <c r="AH8" s="33"/>
      <c r="AI8" s="33"/>
      <c r="AJ8" s="5"/>
    </row>
    <row r="9" spans="1:36" s="89" customFormat="1" x14ac:dyDescent="0.3">
      <c r="A9" s="90" t="s">
        <v>241</v>
      </c>
      <c r="B9" s="78" t="s">
        <v>43</v>
      </c>
      <c r="C9" s="78" t="s">
        <v>201</v>
      </c>
      <c r="D9" s="79"/>
      <c r="E9" s="80">
        <f t="shared" ref="E9:E10" si="14">+AB9</f>
        <v>22263.537707118434</v>
      </c>
      <c r="F9" s="80"/>
      <c r="G9" s="80">
        <f>71920-59424</f>
        <v>12496</v>
      </c>
      <c r="H9" s="80">
        <v>14871</v>
      </c>
      <c r="I9" s="80">
        <v>77083</v>
      </c>
      <c r="J9" s="80">
        <v>5082</v>
      </c>
      <c r="K9" s="80">
        <v>62</v>
      </c>
      <c r="L9" s="80"/>
      <c r="M9" s="81">
        <f t="shared" ref="M9:M16" si="15">H9+K9*0.1</f>
        <v>14877.2</v>
      </c>
      <c r="N9" s="81">
        <f t="shared" ref="N9:N16" si="16">I9+0.1*J9</f>
        <v>77591.199999999997</v>
      </c>
      <c r="O9" s="81">
        <f>SUM(M9*'Factors &amp; Percentages'!$E$6+N9*'Factors &amp; Percentages'!$E$7)</f>
        <v>5742.3922528940184</v>
      </c>
      <c r="P9" s="82">
        <v>1</v>
      </c>
      <c r="Q9" s="81">
        <f>P9*'Factors &amp; Percentages'!$E$10</f>
        <v>10965.575791168743</v>
      </c>
      <c r="R9" s="83">
        <v>779</v>
      </c>
      <c r="S9" s="81">
        <f>R9*'Factors &amp; Percentages'!$E$13</f>
        <v>1383.2551273335475</v>
      </c>
      <c r="T9" s="84">
        <v>22</v>
      </c>
      <c r="U9" s="84">
        <v>38</v>
      </c>
      <c r="V9" s="84">
        <f>11202/2</f>
        <v>5601</v>
      </c>
      <c r="W9" s="81">
        <f>T9*'Factors &amp; Percentages'!$E$16+U9*'Factors &amp; Percentages'!$E$17+V9*'Factors &amp; Percentages'!$E$18</f>
        <v>4172.3145357221201</v>
      </c>
      <c r="X9" s="113"/>
      <c r="Y9" s="81">
        <f t="shared" ref="Y9:Y16" si="17">O9+Q9+S9+W9</f>
        <v>22263.537707118434</v>
      </c>
      <c r="Z9" s="85">
        <f t="shared" ref="Z9:Z16" si="18">IF($I9&gt;($H9+$G9)/2,$Y9,MIN(Y9,$H9*0.65))</f>
        <v>22263.537707118434</v>
      </c>
      <c r="AA9" s="80">
        <f>IF($AE9&gt;$Z9,$AE9*(1+'Factors &amp; Percentages'!$B$3),IF($Y9&gt;$Z9,$Z9,IF($Y9&gt;$AE9,$Y9,$AE9*(1+'Factors &amp; Percentages'!$B$3))))</f>
        <v>22263.537707118434</v>
      </c>
      <c r="AB9" s="80">
        <f t="shared" ref="AB9:AB16" si="19">MIN(AA9,+P9*2*88928)</f>
        <v>22263.537707118434</v>
      </c>
      <c r="AC9" s="85"/>
      <c r="AD9" s="80">
        <f t="shared" ref="AD9:AD16" si="20">AB9</f>
        <v>22263.537707118434</v>
      </c>
      <c r="AE9" s="86">
        <v>12132</v>
      </c>
      <c r="AF9" s="87"/>
      <c r="AG9" s="88"/>
      <c r="AH9" s="88"/>
      <c r="AI9" s="88"/>
      <c r="AJ9" s="5"/>
    </row>
    <row r="10" spans="1:36" x14ac:dyDescent="0.3">
      <c r="A10" s="91" t="s">
        <v>208</v>
      </c>
      <c r="B10" s="76" t="s">
        <v>43</v>
      </c>
      <c r="C10" s="76" t="s">
        <v>201</v>
      </c>
      <c r="D10" s="31"/>
      <c r="E10" s="43">
        <f t="shared" si="14"/>
        <v>57913.469957153618</v>
      </c>
      <c r="F10" s="29"/>
      <c r="G10" s="51">
        <v>128361</v>
      </c>
      <c r="H10" s="59">
        <v>134252</v>
      </c>
      <c r="I10" s="51">
        <v>121118</v>
      </c>
      <c r="J10" s="59">
        <v>103212</v>
      </c>
      <c r="K10" s="49">
        <v>1601</v>
      </c>
      <c r="L10" s="29"/>
      <c r="M10" s="62">
        <f t="shared" si="15"/>
        <v>134412.1</v>
      </c>
      <c r="N10" s="58">
        <f t="shared" si="16"/>
        <v>131439.20000000001</v>
      </c>
      <c r="O10" s="46">
        <f>SUM(M10*'Factors &amp; Percentages'!$E$6+N10*'Factors &amp; Percentages'!$E$7)</f>
        <v>18531.762113508463</v>
      </c>
      <c r="P10" s="65">
        <v>1</v>
      </c>
      <c r="Q10" s="46">
        <f>P10*'Factors &amp; Percentages'!$E$10</f>
        <v>10965.575791168743</v>
      </c>
      <c r="R10" s="69">
        <v>6371</v>
      </c>
      <c r="S10" s="46">
        <f>R10*'Factors &amp; Percentages'!$E$13</f>
        <v>11312.860611350488</v>
      </c>
      <c r="T10" s="63">
        <f>43+22+24</f>
        <v>89</v>
      </c>
      <c r="U10" s="64">
        <v>184</v>
      </c>
      <c r="V10" s="63">
        <v>20820</v>
      </c>
      <c r="W10" s="46">
        <f>T10*'Factors &amp; Percentages'!$E$16+U10*'Factors &amp; Percentages'!$E$17+V10*'Factors &amp; Percentages'!$E$18</f>
        <v>17103.271441125926</v>
      </c>
      <c r="X10" s="114"/>
      <c r="Y10" s="58">
        <f t="shared" si="17"/>
        <v>57913.469957153618</v>
      </c>
      <c r="Z10" s="71">
        <f t="shared" si="18"/>
        <v>57913.469957153618</v>
      </c>
      <c r="AA10" s="51">
        <f>IF($AE10&gt;$Z10,$AE10*(1+'Factors &amp; Percentages'!$B$3),IF($Y10&gt;$Z10,$Z10,IF($Y10&gt;$AE10,$Y10,$AE10*(1+'Factors &amp; Percentages'!$B$3))))</f>
        <v>57913.469957153618</v>
      </c>
      <c r="AB10" s="59">
        <f t="shared" si="19"/>
        <v>57913.469957153618</v>
      </c>
      <c r="AC10" s="42"/>
      <c r="AD10" s="43">
        <f t="shared" si="20"/>
        <v>57913.469957153618</v>
      </c>
      <c r="AE10" s="75">
        <v>30000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209</v>
      </c>
      <c r="B11" s="78" t="s">
        <v>43</v>
      </c>
      <c r="C11" s="78" t="s">
        <v>201</v>
      </c>
      <c r="D11" s="79"/>
      <c r="E11" s="80">
        <f t="shared" ref="E11:E16" si="21">+AB11</f>
        <v>39737.720439311088</v>
      </c>
      <c r="F11" s="80"/>
      <c r="G11" s="80">
        <f>42402-1575</f>
        <v>40827</v>
      </c>
      <c r="H11" s="80">
        <v>36361</v>
      </c>
      <c r="I11" s="80">
        <v>88426</v>
      </c>
      <c r="J11" s="80">
        <v>34</v>
      </c>
      <c r="K11" s="80">
        <v>13998</v>
      </c>
      <c r="L11" s="80"/>
      <c r="M11" s="81">
        <f t="shared" si="15"/>
        <v>37760.800000000003</v>
      </c>
      <c r="N11" s="81">
        <f t="shared" si="16"/>
        <v>88429.4</v>
      </c>
      <c r="O11" s="81">
        <f>SUM(M11*'Factors &amp; Percentages'!$E$6+N11*'Factors &amp; Percentages'!$E$7)</f>
        <v>8221.7812375683643</v>
      </c>
      <c r="P11" s="82">
        <v>2</v>
      </c>
      <c r="Q11" s="81">
        <f>P11*'Factors &amp; Percentages'!$E$10</f>
        <v>21931.151582337487</v>
      </c>
      <c r="R11" s="83">
        <v>384</v>
      </c>
      <c r="S11" s="81">
        <f>R11*'Factors &amp; Percentages'!$E$13</f>
        <v>681.86132079086292</v>
      </c>
      <c r="T11" s="84">
        <v>17</v>
      </c>
      <c r="U11" s="84">
        <v>69</v>
      </c>
      <c r="V11" s="84">
        <v>32980</v>
      </c>
      <c r="W11" s="81">
        <f>T11*'Factors &amp; Percentages'!$E$16+U11*'Factors &amp; Percentages'!$E$17+V11*'Factors &amp; Percentages'!$E$18</f>
        <v>8902.9262986143749</v>
      </c>
      <c r="X11" s="113"/>
      <c r="Y11" s="81">
        <f t="shared" si="17"/>
        <v>39737.720439311088</v>
      </c>
      <c r="Z11" s="85">
        <f t="shared" si="18"/>
        <v>39737.720439311088</v>
      </c>
      <c r="AA11" s="80">
        <f>IF($AE11&gt;$Z11,$AE11*(1+'Factors &amp; Percentages'!$B$3),IF($Y11&gt;$Z11,$Z11,IF($Y11&gt;$AE11,$Y11,$AE11*(1+'Factors &amp; Percentages'!$B$3))))</f>
        <v>39737.720439311088</v>
      </c>
      <c r="AB11" s="80">
        <f t="shared" si="19"/>
        <v>39737.720439311088</v>
      </c>
      <c r="AC11" s="85"/>
      <c r="AD11" s="80">
        <f t="shared" si="20"/>
        <v>39737.720439311088</v>
      </c>
      <c r="AE11" s="86">
        <v>22500</v>
      </c>
      <c r="AF11" s="87"/>
      <c r="AG11" s="88"/>
      <c r="AH11" s="88"/>
      <c r="AI11" s="88"/>
      <c r="AJ11" s="5"/>
    </row>
    <row r="12" spans="1:36" x14ac:dyDescent="0.3">
      <c r="A12" s="91" t="s">
        <v>210</v>
      </c>
      <c r="B12" s="76" t="s">
        <v>43</v>
      </c>
      <c r="C12" s="76" t="s">
        <v>201</v>
      </c>
      <c r="D12" s="31"/>
      <c r="E12" s="43">
        <f t="shared" si="21"/>
        <v>29363.322270840068</v>
      </c>
      <c r="F12" s="29"/>
      <c r="G12" s="51">
        <f>47114-950</f>
        <v>46164</v>
      </c>
      <c r="H12" s="59">
        <v>57384</v>
      </c>
      <c r="I12" s="51">
        <v>38416</v>
      </c>
      <c r="J12" s="59">
        <v>37937</v>
      </c>
      <c r="K12" s="49">
        <v>4544</v>
      </c>
      <c r="L12" s="29"/>
      <c r="M12" s="62">
        <f t="shared" si="15"/>
        <v>57838.400000000001</v>
      </c>
      <c r="N12" s="58">
        <f t="shared" si="16"/>
        <v>42209.7</v>
      </c>
      <c r="O12" s="46">
        <f>SUM(M12*'Factors &amp; Percentages'!$E$6+N12*'Factors &amp; Percentages'!$E$7)</f>
        <v>7134.1638215971288</v>
      </c>
      <c r="P12" s="65">
        <v>1</v>
      </c>
      <c r="Q12" s="46">
        <f>P12*'Factors &amp; Percentages'!$E$10</f>
        <v>10965.575791168743</v>
      </c>
      <c r="R12" s="69">
        <v>1779</v>
      </c>
      <c r="S12" s="46">
        <f>R12*'Factors &amp; Percentages'!$E$13</f>
        <v>3158.93565022642</v>
      </c>
      <c r="T12" s="63">
        <v>42</v>
      </c>
      <c r="U12" s="64">
        <v>82</v>
      </c>
      <c r="V12" s="63">
        <v>10518</v>
      </c>
      <c r="W12" s="46">
        <f>T12*'Factors &amp; Percentages'!$E$16+U12*'Factors &amp; Percentages'!$E$17+V12*'Factors &amp; Percentages'!$E$18</f>
        <v>8104.647007847776</v>
      </c>
      <c r="X12" s="114"/>
      <c r="Y12" s="58">
        <f t="shared" si="17"/>
        <v>29363.322270840068</v>
      </c>
      <c r="Z12" s="71">
        <f t="shared" si="18"/>
        <v>29363.322270840068</v>
      </c>
      <c r="AA12" s="51">
        <f>IF($AE12&gt;$Z12,$AE12*(1+'Factors &amp; Percentages'!$B$3),IF($Y12&gt;$Z12,$Z12,IF($Y12&gt;$AE12,$Y12,$AE12*(1+'Factors &amp; Percentages'!$B$3))))</f>
        <v>29363.322270840068</v>
      </c>
      <c r="AB12" s="59">
        <f t="shared" si="19"/>
        <v>29363.322270840068</v>
      </c>
      <c r="AC12" s="42"/>
      <c r="AD12" s="43">
        <f t="shared" si="20"/>
        <v>29363.322270840068</v>
      </c>
      <c r="AE12" s="75">
        <v>25000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213</v>
      </c>
      <c r="B13" s="78" t="s">
        <v>43</v>
      </c>
      <c r="C13" s="78" t="s">
        <v>201</v>
      </c>
      <c r="D13" s="79"/>
      <c r="E13" s="80">
        <f t="shared" si="21"/>
        <v>35700</v>
      </c>
      <c r="F13" s="80"/>
      <c r="G13" s="80">
        <v>55167</v>
      </c>
      <c r="H13" s="80">
        <v>59312</v>
      </c>
      <c r="I13" s="80">
        <v>71641</v>
      </c>
      <c r="J13" s="80">
        <v>6112</v>
      </c>
      <c r="K13" s="80">
        <v>5954</v>
      </c>
      <c r="L13" s="80"/>
      <c r="M13" s="81">
        <f t="shared" si="15"/>
        <v>59907.4</v>
      </c>
      <c r="N13" s="81">
        <f t="shared" si="16"/>
        <v>72252.2</v>
      </c>
      <c r="O13" s="81">
        <f>SUM(M13*'Factors &amp; Percentages'!$E$6+N13*'Factors &amp; Percentages'!$E$7)</f>
        <v>9059.9776174781255</v>
      </c>
      <c r="P13" s="82">
        <v>1</v>
      </c>
      <c r="Q13" s="81">
        <f>P13*'Factors &amp; Percentages'!$E$10</f>
        <v>10965.575791168743</v>
      </c>
      <c r="R13" s="83">
        <v>1368</v>
      </c>
      <c r="S13" s="81">
        <f>R13*'Factors &amp; Percentages'!$E$13</f>
        <v>2429.1309553174492</v>
      </c>
      <c r="T13" s="84">
        <v>34</v>
      </c>
      <c r="U13" s="84">
        <v>104</v>
      </c>
      <c r="V13" s="84">
        <v>9208</v>
      </c>
      <c r="W13" s="81">
        <f>T13*'Factors &amp; Percentages'!$E$16+U13*'Factors &amp; Percentages'!$E$17+V13*'Factors &amp; Percentages'!$E$18</f>
        <v>7356.0779485282546</v>
      </c>
      <c r="X13" s="113"/>
      <c r="Y13" s="81">
        <f t="shared" si="17"/>
        <v>29810.762312492574</v>
      </c>
      <c r="Z13" s="85">
        <f t="shared" si="18"/>
        <v>29810.762312492574</v>
      </c>
      <c r="AA13" s="80">
        <f>IF($AE13&gt;$Z13,$AE13*(1+'Factors &amp; Percentages'!$B$3),IF($Y13&gt;$Z13,$Z13,IF($Y13&gt;$AE13,$Y13,$AE13*(1+'Factors &amp; Percentages'!$B$3))))</f>
        <v>35700</v>
      </c>
      <c r="AB13" s="80">
        <f t="shared" si="19"/>
        <v>35700</v>
      </c>
      <c r="AC13" s="85"/>
      <c r="AD13" s="80">
        <f t="shared" si="20"/>
        <v>35700</v>
      </c>
      <c r="AE13" s="86">
        <v>34000</v>
      </c>
      <c r="AF13" s="87"/>
      <c r="AG13" s="88"/>
      <c r="AH13" s="88"/>
      <c r="AI13" s="88"/>
      <c r="AJ13" s="5"/>
    </row>
    <row r="14" spans="1:36" x14ac:dyDescent="0.3">
      <c r="A14" s="91" t="s">
        <v>214</v>
      </c>
      <c r="B14" s="76" t="s">
        <v>43</v>
      </c>
      <c r="C14" s="76" t="s">
        <v>201</v>
      </c>
      <c r="D14" s="31"/>
      <c r="E14" s="43">
        <f t="shared" si="21"/>
        <v>17800.25</v>
      </c>
      <c r="F14" s="29"/>
      <c r="G14" s="51">
        <v>27347</v>
      </c>
      <c r="H14" s="59">
        <v>27385</v>
      </c>
      <c r="I14" s="51">
        <v>12415</v>
      </c>
      <c r="J14" s="59">
        <v>0</v>
      </c>
      <c r="K14" s="49">
        <v>18098</v>
      </c>
      <c r="L14" s="29"/>
      <c r="M14" s="62">
        <f t="shared" si="15"/>
        <v>29194.799999999999</v>
      </c>
      <c r="N14" s="58">
        <f t="shared" si="16"/>
        <v>12415</v>
      </c>
      <c r="O14" s="46">
        <f>SUM(M14*'Factors &amp; Percentages'!$E$6+N14*'Factors &amp; Percentages'!$E$7)</f>
        <v>3080.5006883351361</v>
      </c>
      <c r="P14" s="65">
        <v>1</v>
      </c>
      <c r="Q14" s="46">
        <f>P14*'Factors &amp; Percentages'!$E$10</f>
        <v>10965.575791168743</v>
      </c>
      <c r="R14" s="69">
        <v>286</v>
      </c>
      <c r="S14" s="46">
        <f>R14*'Factors &amp; Percentages'!$E$13</f>
        <v>507.84462954736148</v>
      </c>
      <c r="T14" s="63">
        <v>31</v>
      </c>
      <c r="U14" s="64">
        <v>69</v>
      </c>
      <c r="V14" s="63">
        <v>9866</v>
      </c>
      <c r="W14" s="46">
        <f>T14*'Factors &amp; Percentages'!$E$16+U14*'Factors &amp; Percentages'!$E$17+V14*'Factors &amp; Percentages'!$E$18</f>
        <v>6498.6499319127815</v>
      </c>
      <c r="X14" s="114"/>
      <c r="Y14" s="58">
        <f t="shared" si="17"/>
        <v>21052.571040964023</v>
      </c>
      <c r="Z14" s="71">
        <f t="shared" si="18"/>
        <v>17800.25</v>
      </c>
      <c r="AA14" s="51">
        <f>IF($AE14&gt;$Z14,$AE14*(1+'Factors &amp; Percentages'!$B$3),IF($Y14&gt;$Z14,$Z14,IF($Y14&gt;$AE14,$Y14,$AE14*(1+'Factors &amp; Percentages'!$B$3))))</f>
        <v>17800.25</v>
      </c>
      <c r="AB14" s="59">
        <f t="shared" si="19"/>
        <v>17800.25</v>
      </c>
      <c r="AC14" s="42"/>
      <c r="AD14" s="43">
        <f t="shared" si="20"/>
        <v>17800.25</v>
      </c>
      <c r="AE14" s="75">
        <v>12000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212</v>
      </c>
      <c r="B15" s="78" t="s">
        <v>43</v>
      </c>
      <c r="C15" s="78" t="s">
        <v>201</v>
      </c>
      <c r="D15" s="79"/>
      <c r="E15" s="80">
        <f t="shared" si="21"/>
        <v>8855.7462323663622</v>
      </c>
      <c r="F15" s="80"/>
      <c r="G15" s="80">
        <v>26521</v>
      </c>
      <c r="H15" s="80">
        <v>18231</v>
      </c>
      <c r="I15" s="80">
        <v>14629</v>
      </c>
      <c r="J15" s="80">
        <v>0</v>
      </c>
      <c r="K15" s="80">
        <v>0</v>
      </c>
      <c r="L15" s="80"/>
      <c r="M15" s="81">
        <f t="shared" si="15"/>
        <v>18231</v>
      </c>
      <c r="N15" s="81">
        <f t="shared" si="16"/>
        <v>14629</v>
      </c>
      <c r="O15" s="81">
        <f>SUM(M15*'Factors &amp; Percentages'!$E$6+N15*'Factors &amp; Percentages'!$E$7)</f>
        <v>2326.2664678037972</v>
      </c>
      <c r="P15" s="82">
        <v>0.1</v>
      </c>
      <c r="Q15" s="81">
        <f>P15*'Factors &amp; Percentages'!$E$10</f>
        <v>1096.5575791168744</v>
      </c>
      <c r="R15" s="83">
        <v>733</v>
      </c>
      <c r="S15" s="81">
        <f>R15*'Factors &amp; Percentages'!$E$13</f>
        <v>1301.5738232804754</v>
      </c>
      <c r="T15" s="84">
        <v>12</v>
      </c>
      <c r="U15" s="84">
        <v>25</v>
      </c>
      <c r="V15" s="84">
        <v>13315</v>
      </c>
      <c r="W15" s="81">
        <f>T15*'Factors &amp; Percentages'!$E$16+U15*'Factors &amp; Percentages'!$E$17+V15*'Factors &amp; Percentages'!$E$18</f>
        <v>4131.3483621652149</v>
      </c>
      <c r="X15" s="113"/>
      <c r="Y15" s="81">
        <f t="shared" si="17"/>
        <v>8855.7462323663622</v>
      </c>
      <c r="Z15" s="85">
        <f t="shared" si="18"/>
        <v>8855.7462323663622</v>
      </c>
      <c r="AA15" s="80">
        <f>IF($AE15&gt;$Z15,$AE15*(1+'Factors &amp; Percentages'!$B$3),IF($Y15&gt;$Z15,$Z15,IF($Y15&gt;$AE15,$Y15,$AE15*(1+'Factors &amp; Percentages'!$B$3))))</f>
        <v>8855.7462323663622</v>
      </c>
      <c r="AB15" s="80">
        <f t="shared" si="19"/>
        <v>8855.7462323663622</v>
      </c>
      <c r="AC15" s="85"/>
      <c r="AD15" s="80">
        <f t="shared" si="20"/>
        <v>8855.7462323663622</v>
      </c>
      <c r="AE15" s="86">
        <v>0</v>
      </c>
      <c r="AF15" s="87"/>
      <c r="AG15" s="88"/>
      <c r="AH15" s="88"/>
      <c r="AI15" s="88"/>
      <c r="AJ15" s="5"/>
    </row>
    <row r="16" spans="1:36" x14ac:dyDescent="0.3">
      <c r="A16" s="91" t="s">
        <v>211</v>
      </c>
      <c r="B16" s="76" t="s">
        <v>43</v>
      </c>
      <c r="C16" s="76" t="s">
        <v>201</v>
      </c>
      <c r="D16" s="31"/>
      <c r="E16" s="43">
        <f t="shared" si="21"/>
        <v>26712.08448874496</v>
      </c>
      <c r="F16" s="29"/>
      <c r="G16" s="51">
        <v>40051</v>
      </c>
      <c r="H16" s="59">
        <v>46694</v>
      </c>
      <c r="I16" s="51">
        <v>5501</v>
      </c>
      <c r="J16" s="59">
        <v>50083</v>
      </c>
      <c r="K16" s="49">
        <v>0</v>
      </c>
      <c r="L16" s="29"/>
      <c r="M16" s="62">
        <f t="shared" si="15"/>
        <v>46694</v>
      </c>
      <c r="N16" s="58">
        <f t="shared" si="16"/>
        <v>10509.3</v>
      </c>
      <c r="O16" s="46">
        <f>SUM(M16*'Factors &amp; Percentages'!$E$6+N16*'Factors &amp; Percentages'!$E$7)</f>
        <v>4379.6489774895226</v>
      </c>
      <c r="P16" s="65">
        <v>1</v>
      </c>
      <c r="Q16" s="46">
        <f>P16*'Factors &amp; Percentages'!$E$10</f>
        <v>10965.575791168743</v>
      </c>
      <c r="R16" s="69">
        <v>2888</v>
      </c>
      <c r="S16" s="46">
        <f>R16*'Factors &amp; Percentages'!$E$13</f>
        <v>5128.1653501146147</v>
      </c>
      <c r="T16" s="63">
        <v>15</v>
      </c>
      <c r="U16" s="64">
        <v>108</v>
      </c>
      <c r="V16" s="63">
        <v>14899</v>
      </c>
      <c r="W16" s="46">
        <f>T16*'Factors &amp; Percentages'!$E$16+U16*'Factors &amp; Percentages'!$E$17+V16*'Factors &amp; Percentages'!$E$18</f>
        <v>6238.6943699720787</v>
      </c>
      <c r="X16" s="114"/>
      <c r="Y16" s="58">
        <f t="shared" si="17"/>
        <v>26712.08448874496</v>
      </c>
      <c r="Z16" s="71">
        <f t="shared" si="18"/>
        <v>26712.08448874496</v>
      </c>
      <c r="AA16" s="51">
        <f>IF($AE16&gt;$Z16,$AE16*(1+'Factors &amp; Percentages'!$B$3),IF($Y16&gt;$Z16,$Z16,IF($Y16&gt;$AE16,$Y16,$AE16*(1+'Factors &amp; Percentages'!$B$3))))</f>
        <v>26712.08448874496</v>
      </c>
      <c r="AB16" s="59">
        <f t="shared" si="19"/>
        <v>26712.08448874496</v>
      </c>
      <c r="AC16" s="42"/>
      <c r="AD16" s="43">
        <f t="shared" si="20"/>
        <v>26712.08448874496</v>
      </c>
      <c r="AE16" s="75">
        <v>16000</v>
      </c>
      <c r="AF16" s="32"/>
      <c r="AG16" s="33"/>
      <c r="AH16" s="33"/>
      <c r="AI16" s="33"/>
      <c r="AJ16" s="5"/>
    </row>
    <row r="17" spans="1:36" s="89" customFormat="1" x14ac:dyDescent="0.3">
      <c r="A17" s="90"/>
      <c r="B17" s="78"/>
      <c r="C17" s="78"/>
      <c r="D17" s="79"/>
      <c r="E17" s="80"/>
      <c r="F17" s="80"/>
      <c r="G17" s="80"/>
      <c r="H17" s="80"/>
      <c r="I17" s="80"/>
      <c r="J17" s="80"/>
      <c r="K17" s="80"/>
      <c r="L17" s="80"/>
      <c r="M17" s="81"/>
      <c r="N17" s="81"/>
      <c r="O17" s="81"/>
      <c r="P17" s="82"/>
      <c r="Q17" s="81"/>
      <c r="R17" s="83"/>
      <c r="S17" s="81"/>
      <c r="T17" s="84"/>
      <c r="U17" s="84"/>
      <c r="V17" s="84"/>
      <c r="W17" s="81"/>
      <c r="X17" s="113"/>
      <c r="Y17" s="81"/>
      <c r="Z17" s="85"/>
      <c r="AA17" s="80"/>
      <c r="AB17" s="80"/>
      <c r="AC17" s="85"/>
      <c r="AD17" s="80"/>
      <c r="AE17" s="86"/>
      <c r="AF17" s="87"/>
      <c r="AG17" s="88"/>
      <c r="AH17" s="88"/>
      <c r="AI17" s="88"/>
      <c r="AJ17" s="5"/>
    </row>
    <row r="18" spans="1:36" ht="15" thickBot="1" x14ac:dyDescent="0.35">
      <c r="E18" s="44">
        <f>SUM(E3:E16)</f>
        <v>387859.07675866986</v>
      </c>
      <c r="F18" s="41"/>
      <c r="G18" s="52">
        <f>SUM(G3:G17)</f>
        <v>625979</v>
      </c>
      <c r="H18" s="60">
        <f>SUM(H3:H17)</f>
        <v>669862</v>
      </c>
      <c r="I18" s="52">
        <f>SUM(I3:I17)</f>
        <v>688039</v>
      </c>
      <c r="J18" s="60">
        <f>SUM(J3:J17)</f>
        <v>374087</v>
      </c>
      <c r="K18" s="50">
        <f>SUM(K3:K17)</f>
        <v>71085</v>
      </c>
      <c r="L18" s="41"/>
      <c r="M18" s="60">
        <f t="shared" ref="M18:W18" si="22">SUM(M3:M17)</f>
        <v>676970.5</v>
      </c>
      <c r="N18" s="52">
        <f t="shared" si="22"/>
        <v>725447.7</v>
      </c>
      <c r="O18" s="47">
        <f t="shared" si="22"/>
        <v>97050.842560903999</v>
      </c>
      <c r="P18" s="67">
        <f t="shared" si="22"/>
        <v>12.1</v>
      </c>
      <c r="Q18" s="47">
        <f t="shared" si="22"/>
        <v>132683.4670731418</v>
      </c>
      <c r="R18" s="67">
        <f t="shared" si="22"/>
        <v>24937</v>
      </c>
      <c r="S18" s="47">
        <f t="shared" si="22"/>
        <v>44280.145199379549</v>
      </c>
      <c r="T18" s="67">
        <f t="shared" si="22"/>
        <v>527</v>
      </c>
      <c r="U18" s="68">
        <f t="shared" si="22"/>
        <v>1241</v>
      </c>
      <c r="V18" s="67">
        <f t="shared" si="22"/>
        <v>168405</v>
      </c>
      <c r="W18" s="47">
        <f t="shared" si="22"/>
        <v>111815.49641222379</v>
      </c>
      <c r="X18" s="115"/>
      <c r="Y18" s="52">
        <f>SUM(Y3:Y17)</f>
        <v>385829.95124564925</v>
      </c>
      <c r="Z18" s="60">
        <f>SUM(Z3:Z17)</f>
        <v>379798.4543604246</v>
      </c>
      <c r="AA18" s="56">
        <f>SUM(AA3:AA16)</f>
        <v>387859.07675866986</v>
      </c>
      <c r="AB18" s="74">
        <f>SUM(AB3:AB16)</f>
        <v>387859.07675866986</v>
      </c>
      <c r="AC18" s="29"/>
      <c r="AD18" s="44">
        <f>SUM(AD3:AD16)</f>
        <v>387859.07675866986</v>
      </c>
      <c r="AE18" s="56">
        <f>SUM(AE3:AE16)</f>
        <v>235676</v>
      </c>
      <c r="AF18" s="36"/>
      <c r="AG18" s="37"/>
      <c r="AH18" s="37"/>
      <c r="AI18" s="37"/>
      <c r="AJ18" s="6"/>
    </row>
    <row r="19" spans="1:36" ht="15" hidden="1" thickTop="1" x14ac:dyDescent="0.3"/>
  </sheetData>
  <sheetProtection algorithmName="SHA-512" hashValue="9dPQFhAQ/AGomUXolUZLP2SfPK2Agdr+3dC2t64UeRsz+dT+HDaOg1Sy1QGcY+m+4OJ/PRvjthTZqoY1SkZCSw==" saltValue="XAeGkdUlJOWHSWn5E0aCdw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227E-5C4D-4256-9B9E-89FDBD461371}">
  <dimension ref="A1:AV19"/>
  <sheetViews>
    <sheetView zoomScale="90" zoomScaleNormal="90" workbookViewId="0">
      <pane xSplit="4" ySplit="2" topLeftCell="E3" activePane="bottomRight" state="frozen"/>
      <selection activeCell="D2" sqref="D2"/>
      <selection pane="topRight" activeCell="D2" sqref="D2"/>
      <selection pane="bottomLeft" activeCell="D2" sqref="D2"/>
      <selection pane="bottomRight" activeCell="C1" sqref="C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186</v>
      </c>
      <c r="B3" s="78" t="s">
        <v>8</v>
      </c>
      <c r="C3" s="78" t="s">
        <v>185</v>
      </c>
      <c r="D3" s="79"/>
      <c r="E3" s="80">
        <f t="shared" ref="E3:E4" si="0">+AB3</f>
        <v>79380</v>
      </c>
      <c r="F3" s="80"/>
      <c r="G3" s="80">
        <v>92063</v>
      </c>
      <c r="H3" s="80">
        <v>109822</v>
      </c>
      <c r="I3" s="80">
        <v>128566</v>
      </c>
      <c r="J3" s="80">
        <v>12328</v>
      </c>
      <c r="K3" s="80">
        <v>500</v>
      </c>
      <c r="L3" s="80"/>
      <c r="M3" s="81">
        <f t="shared" ref="M3:M4" si="1">H3+K3*0.1</f>
        <v>109872</v>
      </c>
      <c r="N3" s="81">
        <f t="shared" ref="N3:N4" si="2">I3+0.1*J3</f>
        <v>129798.8</v>
      </c>
      <c r="O3" s="81">
        <f>SUM(M3*'Factors &amp; Percentages'!$E$6+N3*'Factors &amp; Percentages'!$E$7)</f>
        <v>16457.371629717993</v>
      </c>
      <c r="P3" s="82">
        <v>2</v>
      </c>
      <c r="Q3" s="81">
        <f>P3*'Factors &amp; Percentages'!$E$10</f>
        <v>21931.151582337487</v>
      </c>
      <c r="R3" s="83">
        <v>2368</v>
      </c>
      <c r="S3" s="81">
        <f>R3*'Factors &amp; Percentages'!$E$13</f>
        <v>4204.8114782103212</v>
      </c>
      <c r="T3" s="84">
        <f>30+26+15+25</f>
        <v>96</v>
      </c>
      <c r="U3" s="84">
        <v>172</v>
      </c>
      <c r="V3" s="84">
        <v>36051</v>
      </c>
      <c r="W3" s="81">
        <f>T3*'Factors &amp; Percentages'!$E$16+U3*'Factors &amp; Percentages'!$E$17+V3*'Factors &amp; Percentages'!$E$18</f>
        <v>20330.384382821012</v>
      </c>
      <c r="X3" s="113"/>
      <c r="Y3" s="81">
        <f t="shared" ref="Y3:Y4" si="3">O3+Q3+S3+W3</f>
        <v>62923.719073086817</v>
      </c>
      <c r="Z3" s="85">
        <f t="shared" ref="Z3:Z4" si="4">IF($I3&gt;($H3+$G3)/2,$Y3,MIN(Y3,$H3*0.65))</f>
        <v>62923.719073086817</v>
      </c>
      <c r="AA3" s="80">
        <f>IF($AE3&gt;$Z3,$AE3*(1+'Factors &amp; Percentages'!$B$3),IF($Y3&gt;$Z3,$Z3,IF($Y3&gt;$AE3,$Y3,$AE3*(1+'Factors &amp; Percentages'!$B$3))))</f>
        <v>79380</v>
      </c>
      <c r="AB3" s="80">
        <f t="shared" ref="AB3:AB4" si="5">MIN(AA3,+P3*2*88928)</f>
        <v>79380</v>
      </c>
      <c r="AC3" s="85"/>
      <c r="AD3" s="80">
        <f t="shared" ref="AD3:AD5" si="6">AB3</f>
        <v>79380</v>
      </c>
      <c r="AE3" s="86">
        <v>75600</v>
      </c>
      <c r="AF3" s="87"/>
      <c r="AG3" s="88"/>
      <c r="AH3" s="88"/>
      <c r="AI3" s="88"/>
      <c r="AJ3" s="5"/>
    </row>
    <row r="4" spans="1:36" x14ac:dyDescent="0.3">
      <c r="A4" s="91" t="s">
        <v>187</v>
      </c>
      <c r="B4" s="76" t="s">
        <v>8</v>
      </c>
      <c r="C4" s="76" t="s">
        <v>185</v>
      </c>
      <c r="D4" s="31"/>
      <c r="E4" s="43">
        <f t="shared" si="0"/>
        <v>44931.6</v>
      </c>
      <c r="F4" s="29"/>
      <c r="G4" s="51">
        <f>54172-252-1024</f>
        <v>52896</v>
      </c>
      <c r="H4" s="59">
        <v>62855</v>
      </c>
      <c r="I4" s="51">
        <v>31769</v>
      </c>
      <c r="J4" s="59">
        <v>0</v>
      </c>
      <c r="K4" s="49">
        <v>0</v>
      </c>
      <c r="L4" s="29"/>
      <c r="M4" s="62">
        <f t="shared" si="1"/>
        <v>62855</v>
      </c>
      <c r="N4" s="58">
        <f t="shared" si="2"/>
        <v>31769</v>
      </c>
      <c r="O4" s="46">
        <f>SUM(M4*'Factors &amp; Percentages'!$E$6+N4*'Factors &amp; Percentages'!$E$7)</f>
        <v>6927.2727024051947</v>
      </c>
      <c r="P4" s="65">
        <v>0.5</v>
      </c>
      <c r="Q4" s="46">
        <f>P4*'Factors &amp; Percentages'!$E$10</f>
        <v>5482.7878955843717</v>
      </c>
      <c r="R4" s="69">
        <v>11357</v>
      </c>
      <c r="S4" s="46">
        <f>R4*'Factors &amp; Percentages'!$E$13</f>
        <v>20166.403698494349</v>
      </c>
      <c r="T4" s="63">
        <v>55</v>
      </c>
      <c r="U4" s="64">
        <v>94</v>
      </c>
      <c r="V4" s="63">
        <v>7580</v>
      </c>
      <c r="W4" s="46">
        <f>T4*'Factors &amp; Percentages'!$E$16+U4*'Factors &amp; Percentages'!$E$17+V4*'Factors &amp; Percentages'!$E$18</f>
        <v>9299.3005032936162</v>
      </c>
      <c r="X4" s="114"/>
      <c r="Y4" s="58">
        <f t="shared" si="3"/>
        <v>41875.764799777535</v>
      </c>
      <c r="Z4" s="71">
        <f t="shared" si="4"/>
        <v>40855.75</v>
      </c>
      <c r="AA4" s="51">
        <f>IF($AE4&gt;$Z4,$AE4*(1+'Factors &amp; Percentages'!$B$3),IF($Y4&gt;$Z4,$Z4,IF($Y4&gt;$AE4,$Y4,$AE4*(1+'Factors &amp; Percentages'!$B$3))))</f>
        <v>44931.6</v>
      </c>
      <c r="AB4" s="59">
        <f t="shared" si="5"/>
        <v>44931.6</v>
      </c>
      <c r="AC4" s="42"/>
      <c r="AD4" s="43">
        <f t="shared" si="6"/>
        <v>44931.6</v>
      </c>
      <c r="AE4" s="75">
        <v>42792</v>
      </c>
      <c r="AF4" s="32"/>
      <c r="AG4" s="33"/>
      <c r="AH4" s="33"/>
      <c r="AI4" s="33"/>
      <c r="AJ4" s="5"/>
    </row>
    <row r="5" spans="1:36" s="89" customFormat="1" x14ac:dyDescent="0.3">
      <c r="A5" s="90" t="s">
        <v>188</v>
      </c>
      <c r="B5" s="78" t="s">
        <v>8</v>
      </c>
      <c r="C5" s="78" t="s">
        <v>185</v>
      </c>
      <c r="D5" s="79"/>
      <c r="E5" s="80">
        <f t="shared" ref="E5:E6" si="7">+AB5</f>
        <v>17785.600000000002</v>
      </c>
      <c r="F5" s="80"/>
      <c r="G5" s="80">
        <v>20279</v>
      </c>
      <c r="H5" s="80">
        <v>18430</v>
      </c>
      <c r="I5" s="80">
        <v>46869</v>
      </c>
      <c r="J5" s="80">
        <v>0</v>
      </c>
      <c r="K5" s="80">
        <v>0</v>
      </c>
      <c r="L5" s="80"/>
      <c r="M5" s="81">
        <f t="shared" ref="M5:M6" si="8">H5+K5*0.1</f>
        <v>18430</v>
      </c>
      <c r="N5" s="81">
        <f t="shared" ref="N5:N6" si="9">I5+0.1*J5</f>
        <v>46869</v>
      </c>
      <c r="O5" s="81">
        <f>SUM(M5*'Factors &amp; Percentages'!$E$6+N5*'Factors &amp; Percentages'!$E$7)</f>
        <v>4229.9926848689702</v>
      </c>
      <c r="P5" s="82">
        <v>0.1</v>
      </c>
      <c r="Q5" s="81">
        <f>P5*'Factors &amp; Percentages'!$E$10</f>
        <v>1096.5575791168744</v>
      </c>
      <c r="R5" s="83">
        <v>10517</v>
      </c>
      <c r="S5" s="81">
        <f>R5*'Factors &amp; Percentages'!$E$13</f>
        <v>18674.832059264336</v>
      </c>
      <c r="T5" s="84">
        <v>27</v>
      </c>
      <c r="U5" s="84">
        <v>43</v>
      </c>
      <c r="V5" s="84">
        <v>320</v>
      </c>
      <c r="W5" s="81">
        <f>T5*'Factors &amp; Percentages'!$E$16+U5*'Factors &amp; Percentages'!$E$17+V5*'Factors &amp; Percentages'!$E$18</f>
        <v>3918.9896404044057</v>
      </c>
      <c r="X5" s="113"/>
      <c r="Y5" s="81">
        <f t="shared" ref="Y5:Y6" si="10">O5+Q5+S5+W5</f>
        <v>27920.371963654587</v>
      </c>
      <c r="Z5" s="85">
        <f t="shared" ref="Z5:Z6" si="11">IF($I5&gt;($H5+$G5)/2,$Y5,MIN(Y5,$H5*0.65))</f>
        <v>27920.371963654587</v>
      </c>
      <c r="AA5" s="80">
        <f>IF($AE5&gt;$Z5,$AE5*(1+'Factors &amp; Percentages'!$B$3),IF($Y5&gt;$Z5,$Z5,IF($Y5&gt;$AE5,$Y5,$AE5*(1+'Factors &amp; Percentages'!$B$3))))</f>
        <v>27920.371963654587</v>
      </c>
      <c r="AB5" s="80">
        <f t="shared" ref="AB5:AB6" si="12">MIN(AA5,+P5*2*88928)</f>
        <v>17785.600000000002</v>
      </c>
      <c r="AC5" s="85"/>
      <c r="AD5" s="80">
        <f t="shared" si="6"/>
        <v>17785.600000000002</v>
      </c>
      <c r="AE5" s="86">
        <v>10548</v>
      </c>
      <c r="AF5" s="87"/>
      <c r="AG5" s="88"/>
      <c r="AH5" s="88"/>
      <c r="AI5" s="88"/>
      <c r="AJ5" s="5"/>
    </row>
    <row r="6" spans="1:36" x14ac:dyDescent="0.3">
      <c r="A6" s="91" t="s">
        <v>189</v>
      </c>
      <c r="B6" s="76" t="s">
        <v>8</v>
      </c>
      <c r="C6" s="76" t="s">
        <v>185</v>
      </c>
      <c r="D6" s="31"/>
      <c r="E6" s="43">
        <f t="shared" si="7"/>
        <v>17785.600000000002</v>
      </c>
      <c r="F6" s="29"/>
      <c r="G6" s="51">
        <v>27807</v>
      </c>
      <c r="H6" s="59">
        <v>31732</v>
      </c>
      <c r="I6" s="51">
        <v>10838</v>
      </c>
      <c r="J6" s="59">
        <v>1414</v>
      </c>
      <c r="K6" s="49">
        <v>9865</v>
      </c>
      <c r="L6" s="29"/>
      <c r="M6" s="62">
        <f t="shared" si="8"/>
        <v>32718.5</v>
      </c>
      <c r="N6" s="58">
        <f t="shared" si="9"/>
        <v>10979.4</v>
      </c>
      <c r="O6" s="46">
        <f>SUM(M6*'Factors &amp; Percentages'!$E$6+N6*'Factors &amp; Percentages'!$E$7)</f>
        <v>3280.5141995329636</v>
      </c>
      <c r="P6" s="65">
        <v>0.1</v>
      </c>
      <c r="Q6" s="46">
        <f>P6*'Factors &amp; Percentages'!$E$10</f>
        <v>1096.5575791168744</v>
      </c>
      <c r="R6" s="69">
        <v>10654</v>
      </c>
      <c r="S6" s="46">
        <f>R6*'Factors &amp; Percentages'!$E$13</f>
        <v>18918.10029090066</v>
      </c>
      <c r="T6" s="63">
        <v>35</v>
      </c>
      <c r="U6" s="64">
        <v>57</v>
      </c>
      <c r="V6" s="63">
        <v>836</v>
      </c>
      <c r="W6" s="46">
        <f>T6*'Factors &amp; Percentages'!$E$16+U6*'Factors &amp; Percentages'!$E$17+V6*'Factors &amp; Percentages'!$E$18</f>
        <v>5175.7906861116135</v>
      </c>
      <c r="X6" s="114"/>
      <c r="Y6" s="58">
        <f t="shared" si="10"/>
        <v>28470.962755662113</v>
      </c>
      <c r="Z6" s="71">
        <f t="shared" si="11"/>
        <v>20625.8</v>
      </c>
      <c r="AA6" s="51">
        <f>IF($AE6&gt;$Z6,$AE6*(1+'Factors &amp; Percentages'!$B$3),IF($Y6&gt;$Z6,$Z6,IF($Y6&gt;$AE6,$Y6,$AE6*(1+'Factors &amp; Percentages'!$B$3))))</f>
        <v>20625.8</v>
      </c>
      <c r="AB6" s="59">
        <f t="shared" si="12"/>
        <v>17785.600000000002</v>
      </c>
      <c r="AC6" s="42"/>
      <c r="AD6" s="43">
        <f t="shared" ref="AD6" si="13">AB6</f>
        <v>17785.600000000002</v>
      </c>
      <c r="AE6" s="75">
        <v>15800</v>
      </c>
      <c r="AF6" s="32"/>
      <c r="AG6" s="33"/>
      <c r="AH6" s="33"/>
      <c r="AI6" s="33"/>
      <c r="AJ6" s="5"/>
    </row>
    <row r="7" spans="1:36" s="89" customFormat="1" x14ac:dyDescent="0.3">
      <c r="A7" s="90" t="s">
        <v>190</v>
      </c>
      <c r="B7" s="78" t="s">
        <v>8</v>
      </c>
      <c r="C7" s="78" t="s">
        <v>185</v>
      </c>
      <c r="D7" s="79"/>
      <c r="E7" s="80">
        <f t="shared" ref="E7:E17" si="14">+AB7</f>
        <v>57750</v>
      </c>
      <c r="F7" s="80"/>
      <c r="G7" s="80">
        <f>110550-2500-4638</f>
        <v>103412</v>
      </c>
      <c r="H7" s="80">
        <v>71317</v>
      </c>
      <c r="I7" s="80">
        <v>47335</v>
      </c>
      <c r="J7" s="80">
        <v>22319</v>
      </c>
      <c r="K7" s="80">
        <v>19200</v>
      </c>
      <c r="L7" s="80"/>
      <c r="M7" s="81">
        <f t="shared" ref="M7:M17" si="15">H7+K7*0.1</f>
        <v>73237</v>
      </c>
      <c r="N7" s="81">
        <f t="shared" ref="N7:N17" si="16">I7+0.1*J7</f>
        <v>49566.9</v>
      </c>
      <c r="O7" s="81">
        <f>SUM(M7*'Factors &amp; Percentages'!$E$6+N7*'Factors &amp; Percentages'!$E$7)</f>
        <v>8806.3203750971552</v>
      </c>
      <c r="P7" s="82">
        <v>0.5</v>
      </c>
      <c r="Q7" s="81">
        <f>P7*'Factors &amp; Percentages'!$E$10</f>
        <v>5482.7878955843717</v>
      </c>
      <c r="R7" s="83">
        <v>6129</v>
      </c>
      <c r="S7" s="81">
        <f>R7*'Factors &amp; Percentages'!$E$13</f>
        <v>10883.145924810415</v>
      </c>
      <c r="T7" s="84">
        <v>60</v>
      </c>
      <c r="U7" s="84">
        <v>157</v>
      </c>
      <c r="V7" s="84">
        <v>10828</v>
      </c>
      <c r="W7" s="81">
        <f>T7*'Factors &amp; Percentages'!$E$16+U7*'Factors &amp; Percentages'!$E$17+V7*'Factors &amp; Percentages'!$E$18</f>
        <v>11565.360481641124</v>
      </c>
      <c r="X7" s="113"/>
      <c r="Y7" s="81">
        <f t="shared" ref="Y7:Y17" si="17">O7+Q7+S7+W7</f>
        <v>36737.614677133068</v>
      </c>
      <c r="Z7" s="85">
        <f t="shared" ref="Z7:Z17" si="18">IF($I7&gt;($H7+$G7)/2,$Y7,MIN(Y7,$H7*0.65))</f>
        <v>36737.614677133068</v>
      </c>
      <c r="AA7" s="80">
        <f>IF($AE7&gt;$Z7,$AE7*(1+'Factors &amp; Percentages'!$B$3),IF($Y7&gt;$Z7,$Z7,IF($Y7&gt;$AE7,$Y7,$AE7*(1+'Factors &amp; Percentages'!$B$3))))</f>
        <v>57750</v>
      </c>
      <c r="AB7" s="80">
        <f t="shared" ref="AB7:AB17" si="19">MIN(AA7,+P7*2*88928)</f>
        <v>57750</v>
      </c>
      <c r="AC7" s="85"/>
      <c r="AD7" s="80">
        <f t="shared" ref="AD7:AD17" si="20">AB7</f>
        <v>57750</v>
      </c>
      <c r="AE7" s="86">
        <v>55000</v>
      </c>
      <c r="AF7" s="87"/>
      <c r="AG7" s="88"/>
      <c r="AH7" s="88"/>
      <c r="AI7" s="88"/>
      <c r="AJ7" s="5"/>
    </row>
    <row r="8" spans="1:36" x14ac:dyDescent="0.3">
      <c r="A8" s="91" t="s">
        <v>191</v>
      </c>
      <c r="B8" s="76" t="s">
        <v>8</v>
      </c>
      <c r="C8" s="76" t="s">
        <v>185</v>
      </c>
      <c r="D8" s="31"/>
      <c r="E8" s="43">
        <f t="shared" si="14"/>
        <v>19822.95</v>
      </c>
      <c r="F8" s="29"/>
      <c r="G8" s="51">
        <f>34615-6802-5535</f>
        <v>22278</v>
      </c>
      <c r="H8" s="59">
        <v>32173</v>
      </c>
      <c r="I8" s="51">
        <v>21030</v>
      </c>
      <c r="J8" s="59">
        <v>54109</v>
      </c>
      <c r="K8" s="49">
        <v>2305</v>
      </c>
      <c r="L8" s="29"/>
      <c r="M8" s="62">
        <f t="shared" si="15"/>
        <v>32403.5</v>
      </c>
      <c r="N8" s="58">
        <f t="shared" si="16"/>
        <v>26440.9</v>
      </c>
      <c r="O8" s="46">
        <f>SUM(M8*'Factors &amp; Percentages'!$E$6+N8*'Factors &amp; Percentages'!$E$7)</f>
        <v>4160.4058411925271</v>
      </c>
      <c r="P8" s="65">
        <v>0.5</v>
      </c>
      <c r="Q8" s="46">
        <f>P8*'Factors &amp; Percentages'!$E$10</f>
        <v>5482.7878955843717</v>
      </c>
      <c r="R8" s="69">
        <v>493</v>
      </c>
      <c r="S8" s="46">
        <f>R8*'Factors &amp; Percentages'!$E$13</f>
        <v>875.41049778618606</v>
      </c>
      <c r="T8" s="63">
        <v>32</v>
      </c>
      <c r="U8" s="64">
        <v>49</v>
      </c>
      <c r="V8" s="63">
        <v>9830</v>
      </c>
      <c r="W8" s="46">
        <f>T8*'Factors &amp; Percentages'!$E$16+U8*'Factors &amp; Percentages'!$E$17+V8*'Factors &amp; Percentages'!$E$18</f>
        <v>6248.0957048626678</v>
      </c>
      <c r="X8" s="114"/>
      <c r="Y8" s="58">
        <f t="shared" si="17"/>
        <v>16766.699939425751</v>
      </c>
      <c r="Z8" s="71">
        <f t="shared" si="18"/>
        <v>16766.699939425751</v>
      </c>
      <c r="AA8" s="51">
        <f>IF($AE8&gt;$Z8,$AE8*(1+'Factors &amp; Percentages'!$B$3),IF($Y8&gt;$Z8,$Z8,IF($Y8&gt;$AE8,$Y8,$AE8*(1+'Factors &amp; Percentages'!$B$3))))</f>
        <v>19822.95</v>
      </c>
      <c r="AB8" s="59">
        <f t="shared" si="19"/>
        <v>19822.95</v>
      </c>
      <c r="AC8" s="42"/>
      <c r="AD8" s="43">
        <f t="shared" si="20"/>
        <v>19822.95</v>
      </c>
      <c r="AE8" s="75">
        <v>18879</v>
      </c>
      <c r="AF8" s="32"/>
      <c r="AG8" s="33"/>
      <c r="AH8" s="33"/>
      <c r="AI8" s="33"/>
      <c r="AJ8" s="5"/>
    </row>
    <row r="9" spans="1:36" s="89" customFormat="1" x14ac:dyDescent="0.3">
      <c r="A9" s="90" t="s">
        <v>192</v>
      </c>
      <c r="B9" s="78" t="s">
        <v>8</v>
      </c>
      <c r="C9" s="78" t="s">
        <v>185</v>
      </c>
      <c r="D9" s="79"/>
      <c r="E9" s="80">
        <f t="shared" si="14"/>
        <v>117526.5</v>
      </c>
      <c r="F9" s="80"/>
      <c r="G9" s="80">
        <f>238475-6004</f>
        <v>232471</v>
      </c>
      <c r="H9" s="80">
        <v>264006</v>
      </c>
      <c r="I9" s="80">
        <v>50333</v>
      </c>
      <c r="J9" s="80">
        <v>8800</v>
      </c>
      <c r="K9" s="80">
        <v>17764</v>
      </c>
      <c r="L9" s="80"/>
      <c r="M9" s="81">
        <f t="shared" si="15"/>
        <v>265782.40000000002</v>
      </c>
      <c r="N9" s="81">
        <f t="shared" si="16"/>
        <v>51213</v>
      </c>
      <c r="O9" s="81">
        <f>SUM(M9*'Factors &amp; Percentages'!$E$6+N9*'Factors &amp; Percentages'!$E$7)</f>
        <v>24425.088300923187</v>
      </c>
      <c r="P9" s="82">
        <v>0.9</v>
      </c>
      <c r="Q9" s="81">
        <f>P9*'Factors &amp; Percentages'!$E$10</f>
        <v>9869.0182120518693</v>
      </c>
      <c r="R9" s="83">
        <v>9315</v>
      </c>
      <c r="S9" s="81">
        <f>R9*'Factors &amp; Percentages'!$E$13</f>
        <v>16540.464070747104</v>
      </c>
      <c r="T9" s="84">
        <v>131</v>
      </c>
      <c r="U9" s="84">
        <v>220</v>
      </c>
      <c r="V9" s="84">
        <v>3045</v>
      </c>
      <c r="W9" s="81">
        <f>T9*'Factors &amp; Percentages'!$E$16+U9*'Factors &amp; Percentages'!$E$17+V9*'Factors &amp; Percentages'!$E$18</f>
        <v>19477.11581936344</v>
      </c>
      <c r="X9" s="113"/>
      <c r="Y9" s="81">
        <f t="shared" si="17"/>
        <v>70311.686403085594</v>
      </c>
      <c r="Z9" s="85">
        <f t="shared" si="18"/>
        <v>70311.686403085594</v>
      </c>
      <c r="AA9" s="80">
        <f>IF($AE9&gt;$Z9,$AE9*(1+'Factors &amp; Percentages'!$B$3),IF($Y9&gt;$Z9,$Z9,IF($Y9&gt;$AE9,$Y9,$AE9*(1+'Factors &amp; Percentages'!$B$3))))</f>
        <v>117526.5</v>
      </c>
      <c r="AB9" s="80">
        <f t="shared" si="19"/>
        <v>117526.5</v>
      </c>
      <c r="AC9" s="85"/>
      <c r="AD9" s="80">
        <f t="shared" si="20"/>
        <v>117526.5</v>
      </c>
      <c r="AE9" s="86">
        <v>111930</v>
      </c>
      <c r="AF9" s="87"/>
      <c r="AG9" s="88"/>
      <c r="AH9" s="88"/>
      <c r="AI9" s="88"/>
      <c r="AJ9" s="5"/>
    </row>
    <row r="10" spans="1:36" x14ac:dyDescent="0.3">
      <c r="A10" s="91" t="s">
        <v>193</v>
      </c>
      <c r="B10" s="76" t="s">
        <v>8</v>
      </c>
      <c r="C10" s="76" t="s">
        <v>185</v>
      </c>
      <c r="D10" s="31"/>
      <c r="E10" s="43">
        <f t="shared" si="14"/>
        <v>28197.75</v>
      </c>
      <c r="F10" s="29"/>
      <c r="G10" s="51">
        <f>40716-1983</f>
        <v>38733</v>
      </c>
      <c r="H10" s="59">
        <v>41543</v>
      </c>
      <c r="I10" s="51">
        <v>11151</v>
      </c>
      <c r="J10" s="59">
        <v>5487</v>
      </c>
      <c r="K10" s="49">
        <v>3823</v>
      </c>
      <c r="L10" s="29"/>
      <c r="M10" s="62">
        <f t="shared" si="15"/>
        <v>41925.300000000003</v>
      </c>
      <c r="N10" s="58">
        <f t="shared" si="16"/>
        <v>11699.7</v>
      </c>
      <c r="O10" s="46">
        <f>SUM(M10*'Factors &amp; Percentages'!$E$6+N10*'Factors &amp; Percentages'!$E$7)</f>
        <v>4064.9108950873069</v>
      </c>
      <c r="P10" s="65">
        <v>1</v>
      </c>
      <c r="Q10" s="46">
        <f>P10*'Factors &amp; Percentages'!$E$10</f>
        <v>10965.575791168743</v>
      </c>
      <c r="R10" s="69">
        <v>295</v>
      </c>
      <c r="S10" s="46">
        <f>R10*'Factors &amp; Percentages'!$E$13</f>
        <v>523.82575425339735</v>
      </c>
      <c r="T10" s="63">
        <v>24</v>
      </c>
      <c r="U10" s="64">
        <v>48</v>
      </c>
      <c r="V10" s="63">
        <v>20265</v>
      </c>
      <c r="W10" s="46">
        <f>T10*'Factors &amp; Percentages'!$E$16+U10*'Factors &amp; Percentages'!$E$17+V10*'Factors &amp; Percentages'!$E$18</f>
        <v>7123.2387527303881</v>
      </c>
      <c r="X10" s="114"/>
      <c r="Y10" s="58">
        <f t="shared" si="17"/>
        <v>22677.551193239837</v>
      </c>
      <c r="Z10" s="71">
        <f t="shared" si="18"/>
        <v>22677.551193239837</v>
      </c>
      <c r="AA10" s="51">
        <f>IF($AE10&gt;$Z10,$AE10*(1+'Factors &amp; Percentages'!$B$3),IF($Y10&gt;$Z10,$Z10,IF($Y10&gt;$AE10,$Y10,$AE10*(1+'Factors &amp; Percentages'!$B$3))))</f>
        <v>28197.75</v>
      </c>
      <c r="AB10" s="59">
        <f t="shared" si="19"/>
        <v>28197.75</v>
      </c>
      <c r="AC10" s="42"/>
      <c r="AD10" s="43">
        <f t="shared" si="20"/>
        <v>28197.75</v>
      </c>
      <c r="AE10" s="75">
        <v>26855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194</v>
      </c>
      <c r="B11" s="78" t="s">
        <v>8</v>
      </c>
      <c r="C11" s="78" t="s">
        <v>185</v>
      </c>
      <c r="D11" s="79"/>
      <c r="E11" s="80">
        <f t="shared" si="14"/>
        <v>46975.981806823125</v>
      </c>
      <c r="F11" s="80"/>
      <c r="G11" s="80">
        <f>60508-2000-1350</f>
        <v>57158</v>
      </c>
      <c r="H11" s="80">
        <v>72221</v>
      </c>
      <c r="I11" s="80">
        <v>145324</v>
      </c>
      <c r="J11" s="80">
        <v>62526</v>
      </c>
      <c r="K11" s="80">
        <v>5263</v>
      </c>
      <c r="L11" s="80"/>
      <c r="M11" s="81">
        <f t="shared" si="15"/>
        <v>72747.3</v>
      </c>
      <c r="N11" s="81">
        <f t="shared" si="16"/>
        <v>151576.6</v>
      </c>
      <c r="O11" s="81">
        <f>SUM(M11*'Factors &amp; Percentages'!$E$6+N11*'Factors &amp; Percentages'!$E$7)</f>
        <v>14739.60988849043</v>
      </c>
      <c r="P11" s="82">
        <v>1</v>
      </c>
      <c r="Q11" s="81">
        <f>P11*'Factors &amp; Percentages'!$E$10</f>
        <v>10965.575791168743</v>
      </c>
      <c r="R11" s="83">
        <v>9013</v>
      </c>
      <c r="S11" s="81">
        <f>R11*'Factors &amp; Percentages'!$E$13</f>
        <v>16004.208552833457</v>
      </c>
      <c r="T11" s="84">
        <v>21</v>
      </c>
      <c r="U11" s="84">
        <v>96</v>
      </c>
      <c r="V11" s="84">
        <v>6571</v>
      </c>
      <c r="W11" s="81">
        <f>T11*'Factors &amp; Percentages'!$E$16+U11*'Factors &amp; Percentages'!$E$17+V11*'Factors &amp; Percentages'!$E$18</f>
        <v>5266.5875743304923</v>
      </c>
      <c r="X11" s="113"/>
      <c r="Y11" s="81">
        <f t="shared" si="17"/>
        <v>46975.981806823125</v>
      </c>
      <c r="Z11" s="85">
        <f t="shared" si="18"/>
        <v>46975.981806823125</v>
      </c>
      <c r="AA11" s="80">
        <f>IF($AE11&gt;$Z11,$AE11*(1+'Factors &amp; Percentages'!$B$3),IF($Y11&gt;$Z11,$Z11,IF($Y11&gt;$AE11,$Y11,$AE11*(1+'Factors &amp; Percentages'!$B$3))))</f>
        <v>46975.981806823125</v>
      </c>
      <c r="AB11" s="80">
        <f t="shared" si="19"/>
        <v>46975.981806823125</v>
      </c>
      <c r="AC11" s="85"/>
      <c r="AD11" s="80">
        <f t="shared" si="20"/>
        <v>46975.981806823125</v>
      </c>
      <c r="AE11" s="86">
        <v>41000</v>
      </c>
      <c r="AF11" s="87"/>
      <c r="AG11" s="88"/>
      <c r="AH11" s="88"/>
      <c r="AI11" s="88"/>
      <c r="AJ11" s="5"/>
    </row>
    <row r="12" spans="1:36" x14ac:dyDescent="0.3">
      <c r="A12" s="91" t="s">
        <v>195</v>
      </c>
      <c r="B12" s="76" t="s">
        <v>8</v>
      </c>
      <c r="C12" s="76" t="s">
        <v>185</v>
      </c>
      <c r="D12" s="31"/>
      <c r="E12" s="43">
        <f t="shared" si="14"/>
        <v>49451.182151013782</v>
      </c>
      <c r="F12" s="29"/>
      <c r="G12" s="51">
        <f>72675-9729</f>
        <v>62946</v>
      </c>
      <c r="H12" s="59">
        <v>77653</v>
      </c>
      <c r="I12" s="51">
        <v>95739</v>
      </c>
      <c r="J12" s="59">
        <v>0</v>
      </c>
      <c r="K12" s="49">
        <v>0</v>
      </c>
      <c r="L12" s="29"/>
      <c r="M12" s="62">
        <f t="shared" si="15"/>
        <v>77653</v>
      </c>
      <c r="N12" s="58">
        <f t="shared" si="16"/>
        <v>95739</v>
      </c>
      <c r="O12" s="46">
        <f>SUM(M12*'Factors &amp; Percentages'!$E$6+N12*'Factors &amp; Percentages'!$E$7)</f>
        <v>11865.745547053219</v>
      </c>
      <c r="P12" s="65">
        <v>1</v>
      </c>
      <c r="Q12" s="46">
        <f>P12*'Factors &amp; Percentages'!$E$10</f>
        <v>10965.575791168743</v>
      </c>
      <c r="R12" s="69">
        <v>7790</v>
      </c>
      <c r="S12" s="46">
        <f>R12*'Factors &amp; Percentages'!$E$13</f>
        <v>13832.551273335475</v>
      </c>
      <c r="T12" s="63">
        <v>66</v>
      </c>
      <c r="U12" s="64">
        <v>146</v>
      </c>
      <c r="V12" s="63">
        <v>15051</v>
      </c>
      <c r="W12" s="46">
        <f>T12*'Factors &amp; Percentages'!$E$16+U12*'Factors &amp; Percentages'!$E$17+V12*'Factors &amp; Percentages'!$E$18</f>
        <v>12787.309539456341</v>
      </c>
      <c r="X12" s="114"/>
      <c r="Y12" s="58">
        <f t="shared" si="17"/>
        <v>49451.182151013782</v>
      </c>
      <c r="Z12" s="71">
        <f t="shared" si="18"/>
        <v>49451.182151013782</v>
      </c>
      <c r="AA12" s="51">
        <f>IF($AE12&gt;$Z12,$AE12*(1+'Factors &amp; Percentages'!$B$3),IF($Y12&gt;$Z12,$Z12,IF($Y12&gt;$AE12,$Y12,$AE12*(1+'Factors &amp; Percentages'!$B$3))))</f>
        <v>49451.182151013782</v>
      </c>
      <c r="AB12" s="59">
        <f t="shared" si="19"/>
        <v>49451.182151013782</v>
      </c>
      <c r="AC12" s="42"/>
      <c r="AD12" s="43">
        <f t="shared" si="20"/>
        <v>49451.182151013782</v>
      </c>
      <c r="AE12" s="75">
        <v>40000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196</v>
      </c>
      <c r="B13" s="78" t="s">
        <v>8</v>
      </c>
      <c r="C13" s="78" t="s">
        <v>185</v>
      </c>
      <c r="D13" s="79"/>
      <c r="E13" s="80">
        <f t="shared" si="14"/>
        <v>22678.5</v>
      </c>
      <c r="F13" s="80"/>
      <c r="G13" s="80">
        <v>25590</v>
      </c>
      <c r="H13" s="80">
        <v>34890</v>
      </c>
      <c r="I13" s="80">
        <f>-80047+100418</f>
        <v>20371</v>
      </c>
      <c r="J13" s="80">
        <v>75334</v>
      </c>
      <c r="K13" s="80">
        <v>8978</v>
      </c>
      <c r="L13" s="80"/>
      <c r="M13" s="81">
        <f t="shared" si="15"/>
        <v>35787.800000000003</v>
      </c>
      <c r="N13" s="81">
        <f t="shared" si="16"/>
        <v>27904.400000000001</v>
      </c>
      <c r="O13" s="81">
        <f>SUM(M13*'Factors &amp; Percentages'!$E$6+N13*'Factors &amp; Percentages'!$E$7)</f>
        <v>4518.9265112647518</v>
      </c>
      <c r="P13" s="82">
        <v>1</v>
      </c>
      <c r="Q13" s="81">
        <f>P13*'Factors &amp; Percentages'!$E$10</f>
        <v>10965.575791168743</v>
      </c>
      <c r="R13" s="83">
        <v>1007</v>
      </c>
      <c r="S13" s="81">
        <f>R13*'Factors &amp; Percentages'!$E$13</f>
        <v>1788.1102865531225</v>
      </c>
      <c r="T13" s="84">
        <v>32</v>
      </c>
      <c r="U13" s="84">
        <v>53</v>
      </c>
      <c r="V13" s="84">
        <v>8582</v>
      </c>
      <c r="W13" s="81">
        <f>T13*'Factors &amp; Percentages'!$E$16+U13*'Factors &amp; Percentages'!$E$17+V13*'Factors &amp; Percentages'!$E$18</f>
        <v>6103.4816319335441</v>
      </c>
      <c r="X13" s="113"/>
      <c r="Y13" s="81">
        <f t="shared" si="17"/>
        <v>23376.09422092016</v>
      </c>
      <c r="Z13" s="85">
        <f t="shared" si="18"/>
        <v>22678.5</v>
      </c>
      <c r="AA13" s="80">
        <f>IF($AE13&gt;$Z13,$AE13*(1+'Factors &amp; Percentages'!$B$3),IF($Y13&gt;$Z13,$Z13,IF($Y13&gt;$AE13,$Y13,$AE13*(1+'Factors &amp; Percentages'!$B$3))))</f>
        <v>22678.5</v>
      </c>
      <c r="AB13" s="80">
        <f t="shared" si="19"/>
        <v>22678.5</v>
      </c>
      <c r="AC13" s="85"/>
      <c r="AD13" s="80">
        <f t="shared" si="20"/>
        <v>22678.5</v>
      </c>
      <c r="AE13" s="86">
        <v>11750</v>
      </c>
      <c r="AF13" s="87"/>
      <c r="AG13" s="88"/>
      <c r="AH13" s="88"/>
      <c r="AI13" s="88"/>
      <c r="AJ13" s="5"/>
    </row>
    <row r="14" spans="1:36" x14ac:dyDescent="0.3">
      <c r="A14" s="91" t="s">
        <v>197</v>
      </c>
      <c r="B14" s="76" t="s">
        <v>8</v>
      </c>
      <c r="C14" s="76" t="s">
        <v>185</v>
      </c>
      <c r="D14" s="31"/>
      <c r="E14" s="43">
        <f t="shared" si="14"/>
        <v>56700</v>
      </c>
      <c r="F14" s="29"/>
      <c r="G14" s="51">
        <f>73103</f>
        <v>73103</v>
      </c>
      <c r="H14" s="59">
        <v>91349</v>
      </c>
      <c r="I14" s="51">
        <v>60530</v>
      </c>
      <c r="J14" s="59">
        <v>31915</v>
      </c>
      <c r="K14" s="49">
        <v>22540</v>
      </c>
      <c r="L14" s="29"/>
      <c r="M14" s="62">
        <f t="shared" si="15"/>
        <v>93603</v>
      </c>
      <c r="N14" s="58">
        <f t="shared" si="16"/>
        <v>63721.5</v>
      </c>
      <c r="O14" s="46">
        <f>SUM(M14*'Factors &amp; Percentages'!$E$6+N14*'Factors &amp; Percentages'!$E$7)</f>
        <v>11276.92705183486</v>
      </c>
      <c r="P14" s="65">
        <v>0.9</v>
      </c>
      <c r="Q14" s="46">
        <f>P14*'Factors &amp; Percentages'!$E$10</f>
        <v>9869.0182120518693</v>
      </c>
      <c r="R14" s="69">
        <v>1076</v>
      </c>
      <c r="S14" s="46">
        <f>R14*'Factors &amp; Percentages'!$E$13</f>
        <v>1910.6322426327306</v>
      </c>
      <c r="T14" s="63">
        <v>60</v>
      </c>
      <c r="U14" s="64">
        <v>163</v>
      </c>
      <c r="V14" s="63">
        <v>14221</v>
      </c>
      <c r="W14" s="46">
        <f>T14*'Factors &amp; Percentages'!$E$16+U14*'Factors &amp; Percentages'!$E$17+V14*'Factors &amp; Percentages'!$E$18</f>
        <v>12261.294253841392</v>
      </c>
      <c r="X14" s="114"/>
      <c r="Y14" s="58">
        <f t="shared" si="17"/>
        <v>35317.871760360853</v>
      </c>
      <c r="Z14" s="71">
        <f t="shared" si="18"/>
        <v>35317.871760360853</v>
      </c>
      <c r="AA14" s="51">
        <f>IF($AE14&gt;$Z14,$AE14*(1+'Factors &amp; Percentages'!$B$3),IF($Y14&gt;$Z14,$Z14,IF($Y14&gt;$AE14,$Y14,$AE14*(1+'Factors &amp; Percentages'!$B$3))))</f>
        <v>56700</v>
      </c>
      <c r="AB14" s="59">
        <f t="shared" si="19"/>
        <v>56700</v>
      </c>
      <c r="AC14" s="42"/>
      <c r="AD14" s="43">
        <f t="shared" si="20"/>
        <v>56700</v>
      </c>
      <c r="AE14" s="75">
        <v>54000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198</v>
      </c>
      <c r="B15" s="78" t="s">
        <v>8</v>
      </c>
      <c r="C15" s="78" t="s">
        <v>185</v>
      </c>
      <c r="D15" s="79"/>
      <c r="E15" s="80">
        <f t="shared" si="14"/>
        <v>52500</v>
      </c>
      <c r="F15" s="80"/>
      <c r="G15" s="80">
        <f>147114-41415</f>
        <v>105699</v>
      </c>
      <c r="H15" s="80">
        <v>118639</v>
      </c>
      <c r="I15" s="80">
        <v>55423</v>
      </c>
      <c r="J15" s="80">
        <v>26879</v>
      </c>
      <c r="K15" s="80">
        <v>1985</v>
      </c>
      <c r="L15" s="80"/>
      <c r="M15" s="81">
        <f t="shared" si="15"/>
        <v>118837.5</v>
      </c>
      <c r="N15" s="81">
        <f t="shared" si="16"/>
        <v>58110.9</v>
      </c>
      <c r="O15" s="81">
        <f>SUM(M15*'Factors &amp; Percentages'!$E$6+N15*'Factors &amp; Percentages'!$E$7)</f>
        <v>12982.744686599435</v>
      </c>
      <c r="P15" s="82">
        <v>1</v>
      </c>
      <c r="Q15" s="81">
        <f>P15*'Factors &amp; Percentages'!$E$10</f>
        <v>10965.575791168743</v>
      </c>
      <c r="R15" s="83">
        <v>28</v>
      </c>
      <c r="S15" s="81">
        <f>R15*'Factors &amp; Percentages'!$E$13</f>
        <v>49.719054641000426</v>
      </c>
      <c r="T15" s="84">
        <v>90</v>
      </c>
      <c r="U15" s="84">
        <v>57</v>
      </c>
      <c r="V15" s="84">
        <v>7516</v>
      </c>
      <c r="W15" s="81">
        <f>T15*'Factors &amp; Percentages'!$E$16+U15*'Factors &amp; Percentages'!$E$17+V15*'Factors &amp; Percentages'!$E$18</f>
        <v>12632.538548857479</v>
      </c>
      <c r="X15" s="113"/>
      <c r="Y15" s="81">
        <f t="shared" si="17"/>
        <v>36630.578081266664</v>
      </c>
      <c r="Z15" s="85">
        <f t="shared" si="18"/>
        <v>36630.578081266664</v>
      </c>
      <c r="AA15" s="80">
        <f>IF($AE15&gt;$Z15,$AE15*(1+'Factors &amp; Percentages'!$B$3),IF($Y15&gt;$Z15,$Z15,IF($Y15&gt;$AE15,$Y15,$AE15*(1+'Factors &amp; Percentages'!$B$3))))</f>
        <v>52500</v>
      </c>
      <c r="AB15" s="80">
        <f t="shared" si="19"/>
        <v>52500</v>
      </c>
      <c r="AC15" s="85"/>
      <c r="AD15" s="80">
        <f t="shared" si="20"/>
        <v>52500</v>
      </c>
      <c r="AE15" s="86">
        <v>50000</v>
      </c>
      <c r="AF15" s="87"/>
      <c r="AG15" s="88"/>
      <c r="AH15" s="88"/>
      <c r="AI15" s="88"/>
      <c r="AJ15" s="5"/>
    </row>
    <row r="16" spans="1:36" x14ac:dyDescent="0.3">
      <c r="A16" s="91" t="s">
        <v>199</v>
      </c>
      <c r="B16" s="76" t="s">
        <v>8</v>
      </c>
      <c r="C16" s="76" t="s">
        <v>185</v>
      </c>
      <c r="D16" s="31"/>
      <c r="E16" s="43">
        <f t="shared" si="14"/>
        <v>76125</v>
      </c>
      <c r="F16" s="29"/>
      <c r="G16" s="51">
        <f>150141-4591</f>
        <v>145550</v>
      </c>
      <c r="H16" s="59">
        <v>134822</v>
      </c>
      <c r="I16" s="51">
        <v>147346</v>
      </c>
      <c r="J16" s="59">
        <v>172019</v>
      </c>
      <c r="K16" s="49">
        <v>11225</v>
      </c>
      <c r="L16" s="29"/>
      <c r="M16" s="62">
        <f t="shared" si="15"/>
        <v>135944.5</v>
      </c>
      <c r="N16" s="58">
        <f t="shared" si="16"/>
        <v>164547.9</v>
      </c>
      <c r="O16" s="46">
        <f>SUM(M16*'Factors &amp; Percentages'!$E$6+N16*'Factors &amp; Percentages'!$E$7)</f>
        <v>20593.845957578207</v>
      </c>
      <c r="P16" s="65">
        <v>1.5</v>
      </c>
      <c r="Q16" s="46">
        <f>P16*'Factors &amp; Percentages'!$E$10</f>
        <v>16448.363686753117</v>
      </c>
      <c r="R16" s="69">
        <v>2994</v>
      </c>
      <c r="S16" s="46">
        <f>R16*'Factors &amp; Percentages'!$E$13</f>
        <v>5316.3874855412596</v>
      </c>
      <c r="T16" s="63">
        <v>121</v>
      </c>
      <c r="U16" s="64">
        <v>189</v>
      </c>
      <c r="V16" s="63">
        <v>15336</v>
      </c>
      <c r="W16" s="46">
        <f>T16*'Factors &amp; Percentages'!$E$16+U16*'Factors &amp; Percentages'!$E$17+V16*'Factors &amp; Percentages'!$E$18</f>
        <v>19906.769342083295</v>
      </c>
      <c r="X16" s="114"/>
      <c r="Y16" s="58">
        <f t="shared" si="17"/>
        <v>62265.366471955873</v>
      </c>
      <c r="Z16" s="71">
        <f t="shared" si="18"/>
        <v>62265.366471955873</v>
      </c>
      <c r="AA16" s="51">
        <f>IF($AE16&gt;$Z16,$AE16*(1+'Factors &amp; Percentages'!$B$3),IF($Y16&gt;$Z16,$Z16,IF($Y16&gt;$AE16,$Y16,$AE16*(1+'Factors &amp; Percentages'!$B$3))))</f>
        <v>76125</v>
      </c>
      <c r="AB16" s="59">
        <f t="shared" si="19"/>
        <v>76125</v>
      </c>
      <c r="AC16" s="42"/>
      <c r="AD16" s="43">
        <f t="shared" si="20"/>
        <v>76125</v>
      </c>
      <c r="AE16" s="75">
        <v>72500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223</v>
      </c>
      <c r="B17" s="78" t="s">
        <v>8</v>
      </c>
      <c r="C17" s="78" t="s">
        <v>185</v>
      </c>
      <c r="D17" s="79"/>
      <c r="E17" s="80">
        <f t="shared" si="14"/>
        <v>34961.641485736858</v>
      </c>
      <c r="F17" s="80"/>
      <c r="G17" s="80">
        <v>8999</v>
      </c>
      <c r="H17" s="80">
        <v>23669</v>
      </c>
      <c r="I17" s="80">
        <v>30273</v>
      </c>
      <c r="J17" s="80">
        <v>0</v>
      </c>
      <c r="K17" s="80">
        <v>238</v>
      </c>
      <c r="L17" s="80"/>
      <c r="M17" s="81">
        <f t="shared" si="15"/>
        <v>23692.799999999999</v>
      </c>
      <c r="N17" s="81">
        <f t="shared" si="16"/>
        <v>30273</v>
      </c>
      <c r="O17" s="81">
        <f>SUM(M17*'Factors &amp; Percentages'!$E$6+N17*'Factors &amp; Percentages'!$E$7)</f>
        <v>3682.5505877138448</v>
      </c>
      <c r="P17" s="82">
        <v>1</v>
      </c>
      <c r="Q17" s="81">
        <f>P17*'Factors &amp; Percentages'!$E$10</f>
        <v>10965.575791168743</v>
      </c>
      <c r="R17" s="83">
        <v>9013</v>
      </c>
      <c r="S17" s="81">
        <f>R17*'Factors &amp; Percentages'!$E$13</f>
        <v>16004.208552833457</v>
      </c>
      <c r="T17" s="84">
        <v>20</v>
      </c>
      <c r="U17" s="84">
        <v>57</v>
      </c>
      <c r="V17" s="84">
        <v>5746</v>
      </c>
      <c r="W17" s="81">
        <f>T17*'Factors &amp; Percentages'!$E$16+U17*'Factors &amp; Percentages'!$E$17+V17*'Factors &amp; Percentages'!$E$18</f>
        <v>4309.3065540208117</v>
      </c>
      <c r="X17" s="113"/>
      <c r="Y17" s="81">
        <f t="shared" si="17"/>
        <v>34961.641485736858</v>
      </c>
      <c r="Z17" s="85">
        <f t="shared" si="18"/>
        <v>34961.641485736858</v>
      </c>
      <c r="AA17" s="80">
        <f>IF($AE17&gt;$Z17,$AE17*(1+'Factors &amp; Percentages'!$B$3),IF($Y17&gt;$Z17,$Z17,IF($Y17&gt;$AE17,$Y17,$AE17*(1+'Factors &amp; Percentages'!$B$3))))</f>
        <v>34961.641485736858</v>
      </c>
      <c r="AB17" s="80">
        <f t="shared" si="19"/>
        <v>34961.641485736858</v>
      </c>
      <c r="AC17" s="85"/>
      <c r="AD17" s="80">
        <f t="shared" si="20"/>
        <v>34961.641485736858</v>
      </c>
      <c r="AE17" s="86">
        <v>0</v>
      </c>
      <c r="AF17" s="87"/>
      <c r="AG17" s="88"/>
      <c r="AH17" s="88"/>
      <c r="AI17" s="88"/>
      <c r="AJ17" s="5"/>
    </row>
    <row r="18" spans="1:36" ht="15" thickBot="1" x14ac:dyDescent="0.35">
      <c r="E18" s="44">
        <f>SUM(E3:E17)</f>
        <v>722572.30544357374</v>
      </c>
      <c r="F18" s="41"/>
      <c r="G18" s="52">
        <f>SUM(G3:G17)</f>
        <v>1068984</v>
      </c>
      <c r="H18" s="60">
        <f>SUM(H3:H17)</f>
        <v>1185121</v>
      </c>
      <c r="I18" s="52">
        <f>SUM(I3:I17)</f>
        <v>902897</v>
      </c>
      <c r="J18" s="60">
        <f>SUM(J3:J17)</f>
        <v>473130</v>
      </c>
      <c r="K18" s="50">
        <f>SUM(K3:K17)</f>
        <v>103686</v>
      </c>
      <c r="L18" s="41"/>
      <c r="M18" s="60">
        <f t="shared" ref="M18:W18" si="21">SUM(M3:M17)</f>
        <v>1195489.6000000003</v>
      </c>
      <c r="N18" s="52">
        <f t="shared" si="21"/>
        <v>950210.00000000012</v>
      </c>
      <c r="O18" s="47">
        <f t="shared" si="21"/>
        <v>152012.22685936006</v>
      </c>
      <c r="P18" s="67">
        <f t="shared" si="21"/>
        <v>13.000000000000002</v>
      </c>
      <c r="Q18" s="47">
        <f t="shared" si="21"/>
        <v>142552.48528519366</v>
      </c>
      <c r="R18" s="67">
        <f t="shared" si="21"/>
        <v>82049</v>
      </c>
      <c r="S18" s="47">
        <f t="shared" si="21"/>
        <v>145692.81122283725</v>
      </c>
      <c r="T18" s="67">
        <f t="shared" si="21"/>
        <v>870</v>
      </c>
      <c r="U18" s="68">
        <f t="shared" si="21"/>
        <v>1601</v>
      </c>
      <c r="V18" s="67">
        <f t="shared" si="21"/>
        <v>161778</v>
      </c>
      <c r="W18" s="47">
        <f t="shared" si="21"/>
        <v>156405.56341575165</v>
      </c>
      <c r="X18" s="115"/>
      <c r="Y18" s="52">
        <f>SUM(Y3:Y17)</f>
        <v>596663.08678314253</v>
      </c>
      <c r="Z18" s="60">
        <f>SUM(Z3:Z17)</f>
        <v>587100.31500678277</v>
      </c>
      <c r="AA18" s="56">
        <f>SUM(AA3:AA17)</f>
        <v>735547.27740722836</v>
      </c>
      <c r="AB18" s="74">
        <f>SUM(AB3:AB17)</f>
        <v>722572.30544357374</v>
      </c>
      <c r="AC18" s="29"/>
      <c r="AD18" s="44">
        <f>SUM(AD3:AD17)</f>
        <v>722572.30544357374</v>
      </c>
      <c r="AE18" s="56">
        <f>SUM(AE3:AE17)</f>
        <v>626654</v>
      </c>
      <c r="AF18" s="36"/>
      <c r="AG18" s="37"/>
      <c r="AH18" s="37"/>
      <c r="AI18" s="37"/>
      <c r="AJ18" s="6"/>
    </row>
    <row r="19" spans="1:36" ht="15" hidden="1" thickTop="1" x14ac:dyDescent="0.3"/>
  </sheetData>
  <sheetProtection algorithmName="SHA-512" hashValue="Ce+CWmvdhuwcpIH10RMc4a821HOkDQBFEVBeIZhpjpDU68YKGmIaWds49nTiu2mEUuD/6itKElpqJITaILnOFA==" saltValue="5ae30HNcZ+MlOJ8GLSS8rQ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5A15-21D5-4319-BED4-DDF54AA4500B}">
  <dimension ref="A1:AV16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215</v>
      </c>
      <c r="B3" s="78" t="s">
        <v>8</v>
      </c>
      <c r="C3" s="78" t="s">
        <v>175</v>
      </c>
      <c r="D3" s="79"/>
      <c r="E3" s="80">
        <f t="shared" ref="E3:E4" si="0">+AB3</f>
        <v>19442.173041700335</v>
      </c>
      <c r="F3" s="80"/>
      <c r="G3" s="80">
        <f>42311-10075</f>
        <v>32236</v>
      </c>
      <c r="H3" s="80">
        <v>39573</v>
      </c>
      <c r="I3" s="80">
        <v>58762</v>
      </c>
      <c r="J3" s="80">
        <v>0</v>
      </c>
      <c r="K3" s="80">
        <v>0</v>
      </c>
      <c r="L3" s="80"/>
      <c r="M3" s="81">
        <f t="shared" ref="M3:M4" si="1">H3+K3*0.1</f>
        <v>39573</v>
      </c>
      <c r="N3" s="81">
        <f t="shared" ref="N3:N4" si="2">I3+0.1*J3</f>
        <v>58762</v>
      </c>
      <c r="O3" s="81">
        <f>SUM(M3*'Factors &amp; Percentages'!$E$6+N3*'Factors &amp; Percentages'!$E$7)</f>
        <v>6630.8196992551893</v>
      </c>
      <c r="P3" s="82">
        <v>0.5</v>
      </c>
      <c r="Q3" s="81">
        <f>P3*'Factors &amp; Percentages'!$E$10</f>
        <v>5482.7878955843717</v>
      </c>
      <c r="R3" s="83">
        <v>1275</v>
      </c>
      <c r="S3" s="81">
        <f>R3*'Factors &amp; Percentages'!$E$13</f>
        <v>2263.9926666884121</v>
      </c>
      <c r="T3" s="84">
        <v>17</v>
      </c>
      <c r="U3" s="84">
        <v>52</v>
      </c>
      <c r="V3" s="84">
        <v>12601</v>
      </c>
      <c r="W3" s="81">
        <f>T3*'Factors &amp; Percentages'!$E$16+U3*'Factors &amp; Percentages'!$E$17+V3*'Factors &amp; Percentages'!$E$18</f>
        <v>5064.5727801723606</v>
      </c>
      <c r="X3" s="113"/>
      <c r="Y3" s="81">
        <f t="shared" ref="Y3:Y4" si="3">O3+Q3+S3+W3</f>
        <v>19442.173041700335</v>
      </c>
      <c r="Z3" s="85">
        <f t="shared" ref="Z3:Z4" si="4">IF($I3&gt;($H3+$G3)/2,$Y3,MIN(Y3,$H3*0.65))</f>
        <v>19442.173041700335</v>
      </c>
      <c r="AA3" s="80">
        <f>IF($AE3&gt;$Z3,$AE3*(1+'Factors &amp; Percentages'!$B$3),IF($Y3&gt;$Z3,$Z3,IF($Y3&gt;$AE3,$Y3,$AE3*(1+'Factors &amp; Percentages'!$B$3))))</f>
        <v>19442.173041700335</v>
      </c>
      <c r="AB3" s="80">
        <f t="shared" ref="AB3:AB4" si="5">MIN(AA3,+P3*2*88928)</f>
        <v>19442.173041700335</v>
      </c>
      <c r="AC3" s="85"/>
      <c r="AD3" s="80">
        <f t="shared" ref="AD3:AD4" si="6">AB3</f>
        <v>19442.173041700335</v>
      </c>
      <c r="AE3" s="86">
        <v>12000</v>
      </c>
      <c r="AF3" s="87"/>
      <c r="AG3" s="88"/>
      <c r="AH3" s="88"/>
      <c r="AI3" s="88"/>
      <c r="AJ3" s="5"/>
    </row>
    <row r="4" spans="1:36" x14ac:dyDescent="0.3">
      <c r="A4" s="91" t="s">
        <v>176</v>
      </c>
      <c r="B4" s="76" t="s">
        <v>8</v>
      </c>
      <c r="C4" s="76" t="s">
        <v>175</v>
      </c>
      <c r="D4" s="31"/>
      <c r="E4" s="43">
        <f t="shared" si="0"/>
        <v>10553.323854605835</v>
      </c>
      <c r="F4" s="29"/>
      <c r="G4" s="51">
        <v>10484</v>
      </c>
      <c r="H4" s="59">
        <v>6377</v>
      </c>
      <c r="I4" s="51">
        <v>18353</v>
      </c>
      <c r="J4" s="59">
        <v>0</v>
      </c>
      <c r="K4" s="49">
        <v>0</v>
      </c>
      <c r="L4" s="29"/>
      <c r="M4" s="62">
        <f t="shared" si="1"/>
        <v>6377</v>
      </c>
      <c r="N4" s="58">
        <f t="shared" si="2"/>
        <v>18353</v>
      </c>
      <c r="O4" s="46">
        <f>SUM(M4*'Factors &amp; Percentages'!$E$6+N4*'Factors &amp; Percentages'!$E$7)</f>
        <v>1588.6791779806756</v>
      </c>
      <c r="P4" s="65">
        <v>0.25</v>
      </c>
      <c r="Q4" s="46">
        <f>P4*'Factors &amp; Percentages'!$E$10</f>
        <v>2741.3939477921858</v>
      </c>
      <c r="R4" s="69">
        <v>2523</v>
      </c>
      <c r="S4" s="46">
        <f>R4*'Factors &amp; Percentages'!$E$13</f>
        <v>4480.0419592587168</v>
      </c>
      <c r="T4" s="63">
        <v>12</v>
      </c>
      <c r="U4" s="64">
        <v>19</v>
      </c>
      <c r="V4" s="63">
        <v>162</v>
      </c>
      <c r="W4" s="46">
        <f>T4*'Factors &amp; Percentages'!$E$16+U4*'Factors &amp; Percentages'!$E$17+V4*'Factors &amp; Percentages'!$E$18</f>
        <v>1743.2087695742566</v>
      </c>
      <c r="X4" s="114"/>
      <c r="Y4" s="58">
        <f t="shared" si="3"/>
        <v>10553.323854605835</v>
      </c>
      <c r="Z4" s="71">
        <f t="shared" si="4"/>
        <v>10553.323854605835</v>
      </c>
      <c r="AA4" s="51">
        <f>IF($AE4&gt;$Z4,$AE4*(1+'Factors &amp; Percentages'!$B$3),IF($Y4&gt;$Z4,$Z4,IF($Y4&gt;$AE4,$Y4,$AE4*(1+'Factors &amp; Percentages'!$B$3))))</f>
        <v>10553.323854605835</v>
      </c>
      <c r="AB4" s="59">
        <f t="shared" si="5"/>
        <v>10553.323854605835</v>
      </c>
      <c r="AC4" s="42"/>
      <c r="AD4" s="43">
        <f t="shared" si="6"/>
        <v>10553.323854605835</v>
      </c>
      <c r="AE4" s="75">
        <v>1883.7</v>
      </c>
      <c r="AF4" s="32"/>
      <c r="AG4" s="33"/>
      <c r="AH4" s="33"/>
      <c r="AI4" s="33"/>
      <c r="AJ4" s="5"/>
    </row>
    <row r="5" spans="1:36" s="89" customFormat="1" x14ac:dyDescent="0.3">
      <c r="A5" s="90" t="s">
        <v>177</v>
      </c>
      <c r="B5" s="78" t="s">
        <v>8</v>
      </c>
      <c r="C5" s="78" t="s">
        <v>175</v>
      </c>
      <c r="D5" s="79"/>
      <c r="E5" s="80">
        <f t="shared" ref="E5:E6" si="7">+AB5</f>
        <v>7348.9000000000005</v>
      </c>
      <c r="F5" s="80"/>
      <c r="G5" s="80">
        <v>10590</v>
      </c>
      <c r="H5" s="80">
        <v>11306</v>
      </c>
      <c r="I5" s="80">
        <v>7659</v>
      </c>
      <c r="J5" s="80">
        <v>2193</v>
      </c>
      <c r="K5" s="80">
        <v>448</v>
      </c>
      <c r="L5" s="80"/>
      <c r="M5" s="81">
        <f t="shared" ref="M5:M6" si="8">H5+K5*0.1</f>
        <v>11350.8</v>
      </c>
      <c r="N5" s="81">
        <f t="shared" ref="N5:N6" si="9">I5+0.1*J5</f>
        <v>7878.3</v>
      </c>
      <c r="O5" s="81">
        <f>SUM(M5*'Factors &amp; Percentages'!$E$6+N5*'Factors &amp; Percentages'!$E$7)</f>
        <v>1376.3469280695074</v>
      </c>
      <c r="P5" s="82">
        <v>0.25</v>
      </c>
      <c r="Q5" s="81">
        <f>P5*'Factors &amp; Percentages'!$E$10</f>
        <v>2741.3939477921858</v>
      </c>
      <c r="R5" s="83">
        <v>2650</v>
      </c>
      <c r="S5" s="81">
        <f>R5*'Factors &amp; Percentages'!$E$13</f>
        <v>4705.5533856661114</v>
      </c>
      <c r="T5" s="84">
        <v>20</v>
      </c>
      <c r="U5" s="84">
        <v>10</v>
      </c>
      <c r="V5" s="84">
        <v>384</v>
      </c>
      <c r="W5" s="81">
        <f>T5*'Factors &amp; Percentages'!$E$16+U5*'Factors &amp; Percentages'!$E$17+V5*'Factors &amp; Percentages'!$E$18</f>
        <v>2536.3791077470332</v>
      </c>
      <c r="X5" s="113"/>
      <c r="Y5" s="81">
        <f t="shared" ref="Y5:Y6" si="10">O5+Q5+S5+W5</f>
        <v>11359.673369274838</v>
      </c>
      <c r="Z5" s="85">
        <f t="shared" ref="Z5:Z6" si="11">IF($I5&gt;($H5+$G5)/2,$Y5,MIN(Y5,$H5*0.65))</f>
        <v>7348.9000000000005</v>
      </c>
      <c r="AA5" s="80">
        <f>IF($AE5&gt;$Z5,$AE5*(1+'Factors &amp; Percentages'!$B$3),IF($Y5&gt;$Z5,$Z5,IF($Y5&gt;$AE5,$Y5,$AE5*(1+'Factors &amp; Percentages'!$B$3))))</f>
        <v>7348.9000000000005</v>
      </c>
      <c r="AB5" s="80">
        <f t="shared" ref="AB5:AB6" si="12">MIN(AA5,+P5*2*88928)</f>
        <v>7348.9000000000005</v>
      </c>
      <c r="AC5" s="85"/>
      <c r="AD5" s="80">
        <f t="shared" ref="AD5:AD6" si="13">AB5</f>
        <v>7348.9000000000005</v>
      </c>
      <c r="AE5" s="86">
        <v>3000</v>
      </c>
      <c r="AF5" s="87"/>
      <c r="AG5" s="88"/>
      <c r="AH5" s="88"/>
      <c r="AI5" s="88"/>
      <c r="AJ5" s="5"/>
    </row>
    <row r="6" spans="1:36" x14ac:dyDescent="0.3">
      <c r="A6" s="91" t="s">
        <v>178</v>
      </c>
      <c r="B6" s="76" t="s">
        <v>8</v>
      </c>
      <c r="C6" s="76" t="s">
        <v>175</v>
      </c>
      <c r="D6" s="31"/>
      <c r="E6" s="43">
        <f t="shared" si="7"/>
        <v>10838.75</v>
      </c>
      <c r="F6" s="29"/>
      <c r="G6" s="51">
        <f>17946-1800</f>
        <v>16146</v>
      </c>
      <c r="H6" s="59">
        <v>16675</v>
      </c>
      <c r="I6" s="51">
        <v>14824</v>
      </c>
      <c r="J6" s="59">
        <v>12247</v>
      </c>
      <c r="K6" s="49">
        <v>115</v>
      </c>
      <c r="L6" s="29"/>
      <c r="M6" s="62">
        <f t="shared" si="8"/>
        <v>16686.5</v>
      </c>
      <c r="N6" s="58">
        <f t="shared" si="9"/>
        <v>16048.7</v>
      </c>
      <c r="O6" s="46">
        <f>SUM(M6*'Factors &amp; Percentages'!$E$6+N6*'Factors &amp; Percentages'!$E$7)</f>
        <v>2284.8786963388811</v>
      </c>
      <c r="P6" s="65">
        <v>0.5</v>
      </c>
      <c r="Q6" s="46">
        <f>P6*'Factors &amp; Percentages'!$E$10</f>
        <v>5482.7878955843717</v>
      </c>
      <c r="R6" s="69">
        <v>6676</v>
      </c>
      <c r="S6" s="46">
        <f>R6*'Factors &amp; Percentages'!$E$13</f>
        <v>11854.443170832816</v>
      </c>
      <c r="T6" s="63">
        <v>17</v>
      </c>
      <c r="U6" s="64">
        <v>37</v>
      </c>
      <c r="V6" s="63">
        <v>1684</v>
      </c>
      <c r="W6" s="46">
        <f>T6*'Factors &amp; Percentages'!$E$16+U6*'Factors &amp; Percentages'!$E$17+V6*'Factors &amp; Percentages'!$E$18</f>
        <v>2902.6404941654264</v>
      </c>
      <c r="X6" s="114"/>
      <c r="Y6" s="58">
        <f t="shared" si="10"/>
        <v>22524.750256921492</v>
      </c>
      <c r="Z6" s="71">
        <f t="shared" si="11"/>
        <v>10838.75</v>
      </c>
      <c r="AA6" s="51">
        <f>IF($AE6&gt;$Z6,$AE6*(1+'Factors &amp; Percentages'!$B$3),IF($Y6&gt;$Z6,$Z6,IF($Y6&gt;$AE6,$Y6,$AE6*(1+'Factors &amp; Percentages'!$B$3))))</f>
        <v>10838.75</v>
      </c>
      <c r="AB6" s="59">
        <f t="shared" si="12"/>
        <v>10838.75</v>
      </c>
      <c r="AC6" s="42"/>
      <c r="AD6" s="43">
        <f t="shared" si="13"/>
        <v>10838.75</v>
      </c>
      <c r="AE6" s="75">
        <v>7000</v>
      </c>
      <c r="AF6" s="32"/>
      <c r="AG6" s="33"/>
      <c r="AH6" s="33"/>
      <c r="AI6" s="33"/>
      <c r="AJ6" s="5"/>
    </row>
    <row r="7" spans="1:36" s="89" customFormat="1" x14ac:dyDescent="0.3">
      <c r="A7" s="90" t="s">
        <v>179</v>
      </c>
      <c r="B7" s="78" t="s">
        <v>8</v>
      </c>
      <c r="C7" s="78" t="s">
        <v>175</v>
      </c>
      <c r="D7" s="79"/>
      <c r="E7" s="80">
        <f t="shared" ref="E7:E12" si="14">+AB7</f>
        <v>7379.45</v>
      </c>
      <c r="F7" s="80"/>
      <c r="G7" s="80">
        <f>8736-1000</f>
        <v>7736</v>
      </c>
      <c r="H7" s="80">
        <v>11353</v>
      </c>
      <c r="I7" s="80">
        <v>6553</v>
      </c>
      <c r="J7" s="80">
        <v>10780</v>
      </c>
      <c r="K7" s="80">
        <v>14155</v>
      </c>
      <c r="L7" s="80"/>
      <c r="M7" s="81">
        <f t="shared" ref="M7:M11" si="15">H7+K7*0.1</f>
        <v>12768.5</v>
      </c>
      <c r="N7" s="81">
        <f t="shared" ref="N7:N11" si="16">I7+0.1*J7</f>
        <v>7631</v>
      </c>
      <c r="O7" s="81">
        <f>SUM(M7*'Factors &amp; Percentages'!$E$6+N7*'Factors &amp; Percentages'!$E$7)</f>
        <v>1476.1576585951088</v>
      </c>
      <c r="P7" s="82">
        <v>0.25</v>
      </c>
      <c r="Q7" s="81">
        <f>P7*'Factors &amp; Percentages'!$E$10</f>
        <v>2741.3939477921858</v>
      </c>
      <c r="R7" s="83">
        <v>3914</v>
      </c>
      <c r="S7" s="81">
        <f>R7*'Factors &amp; Percentages'!$E$13</f>
        <v>6950.0135666027018</v>
      </c>
      <c r="T7" s="84">
        <v>12</v>
      </c>
      <c r="U7" s="84">
        <v>21</v>
      </c>
      <c r="V7" s="84">
        <v>465</v>
      </c>
      <c r="W7" s="81">
        <f>T7*'Factors &amp; Percentages'!$E$16+U7*'Factors &amp; Percentages'!$E$17+V7*'Factors &amp; Percentages'!$E$18</f>
        <v>1831.6266096980321</v>
      </c>
      <c r="X7" s="113"/>
      <c r="Y7" s="81">
        <f t="shared" ref="Y7:Y11" si="17">O7+Q7+S7+W7</f>
        <v>12999.191782688029</v>
      </c>
      <c r="Z7" s="85">
        <f t="shared" ref="Z7:Z11" si="18">IF($I7&gt;($H7+$G7)/2,$Y7,MIN(Y7,$H7*0.65))</f>
        <v>7379.45</v>
      </c>
      <c r="AA7" s="80">
        <f>IF($AE7&gt;$Z7,$AE7*(1+'Factors &amp; Percentages'!$B$3),IF($Y7&gt;$Z7,$Z7,IF($Y7&gt;$AE7,$Y7,$AE7*(1+'Factors &amp; Percentages'!$B$3))))</f>
        <v>7379.45</v>
      </c>
      <c r="AB7" s="80">
        <f t="shared" ref="AB7:AB11" si="19">MIN(AA7,+P7*2*88928)</f>
        <v>7379.45</v>
      </c>
      <c r="AC7" s="85"/>
      <c r="AD7" s="80">
        <f t="shared" ref="AD7:AD11" si="20">AB7</f>
        <v>7379.45</v>
      </c>
      <c r="AE7" s="86">
        <v>1680</v>
      </c>
      <c r="AF7" s="87"/>
      <c r="AG7" s="88"/>
      <c r="AH7" s="88"/>
      <c r="AI7" s="88"/>
      <c r="AJ7" s="5"/>
    </row>
    <row r="8" spans="1:36" x14ac:dyDescent="0.3">
      <c r="A8" s="91" t="s">
        <v>180</v>
      </c>
      <c r="B8" s="76" t="s">
        <v>8</v>
      </c>
      <c r="C8" s="76" t="s">
        <v>175</v>
      </c>
      <c r="D8" s="31"/>
      <c r="E8" s="43">
        <f t="shared" si="14"/>
        <v>14507.943621582333</v>
      </c>
      <c r="F8" s="29"/>
      <c r="G8" s="51">
        <v>8311</v>
      </c>
      <c r="H8" s="59">
        <v>8632</v>
      </c>
      <c r="I8" s="51">
        <v>23409</v>
      </c>
      <c r="J8" s="59">
        <v>12119</v>
      </c>
      <c r="K8" s="49">
        <v>311</v>
      </c>
      <c r="L8" s="29"/>
      <c r="M8" s="62">
        <f t="shared" si="15"/>
        <v>8663.1</v>
      </c>
      <c r="N8" s="58">
        <f t="shared" si="16"/>
        <v>24620.9</v>
      </c>
      <c r="O8" s="46">
        <f>SUM(M8*'Factors &amp; Percentages'!$E$6+N8*'Factors &amp; Percentages'!$E$7)</f>
        <v>2139.968828585158</v>
      </c>
      <c r="P8" s="65">
        <v>0.25</v>
      </c>
      <c r="Q8" s="46">
        <f>P8*'Factors &amp; Percentages'!$E$10</f>
        <v>2741.3939477921858</v>
      </c>
      <c r="R8" s="69">
        <v>2650</v>
      </c>
      <c r="S8" s="46">
        <f>R8*'Factors &amp; Percentages'!$E$13</f>
        <v>4705.5533856661114</v>
      </c>
      <c r="T8" s="63">
        <v>38</v>
      </c>
      <c r="U8" s="64">
        <v>26</v>
      </c>
      <c r="V8" s="63">
        <v>593</v>
      </c>
      <c r="W8" s="46">
        <f>T8*'Factors &amp; Percentages'!$E$16+U8*'Factors &amp; Percentages'!$E$17+V8*'Factors &amp; Percentages'!$E$18</f>
        <v>4921.0274595388773</v>
      </c>
      <c r="X8" s="114"/>
      <c r="Y8" s="58">
        <f t="shared" si="17"/>
        <v>14507.943621582333</v>
      </c>
      <c r="Z8" s="71">
        <f t="shared" si="18"/>
        <v>14507.943621582333</v>
      </c>
      <c r="AA8" s="51">
        <f>IF($AE8&gt;$Z8,$AE8*(1+'Factors &amp; Percentages'!$B$3),IF($Y8&gt;$Z8,$Z8,IF($Y8&gt;$AE8,$Y8,$AE8*(1+'Factors &amp; Percentages'!$B$3))))</f>
        <v>14507.943621582333</v>
      </c>
      <c r="AB8" s="59">
        <f t="shared" si="19"/>
        <v>14507.943621582333</v>
      </c>
      <c r="AC8" s="42"/>
      <c r="AD8" s="43">
        <f t="shared" si="20"/>
        <v>14507.943621582333</v>
      </c>
      <c r="AE8" s="75">
        <v>4500</v>
      </c>
      <c r="AF8" s="32"/>
      <c r="AG8" s="33"/>
      <c r="AH8" s="33"/>
      <c r="AI8" s="33"/>
      <c r="AJ8" s="5"/>
    </row>
    <row r="9" spans="1:36" s="89" customFormat="1" x14ac:dyDescent="0.3">
      <c r="A9" s="90" t="s">
        <v>242</v>
      </c>
      <c r="B9" s="78" t="s">
        <v>8</v>
      </c>
      <c r="C9" s="78" t="s">
        <v>175</v>
      </c>
      <c r="D9" s="79"/>
      <c r="E9" s="80">
        <f t="shared" si="14"/>
        <v>23541.528955625407</v>
      </c>
      <c r="F9" s="80"/>
      <c r="G9" s="80">
        <f>33323-500</f>
        <v>32823</v>
      </c>
      <c r="H9" s="80">
        <v>40094</v>
      </c>
      <c r="I9" s="80">
        <v>107918</v>
      </c>
      <c r="J9" s="80">
        <v>178641</v>
      </c>
      <c r="K9" s="80">
        <v>21624</v>
      </c>
      <c r="L9" s="80"/>
      <c r="M9" s="81">
        <f t="shared" si="15"/>
        <v>42256.4</v>
      </c>
      <c r="N9" s="81">
        <f t="shared" si="16"/>
        <v>125782.1</v>
      </c>
      <c r="O9" s="81">
        <f>SUM(M9*'Factors &amp; Percentages'!$E$6+N9*'Factors &amp; Percentages'!$E$7)</f>
        <v>10771.239022223102</v>
      </c>
      <c r="P9" s="82">
        <v>0.25</v>
      </c>
      <c r="Q9" s="81">
        <f>P9*'Factors &amp; Percentages'!$E$10</f>
        <v>2741.3939477921858</v>
      </c>
      <c r="R9" s="83">
        <v>3018</v>
      </c>
      <c r="S9" s="81">
        <f>R9*'Factors &amp; Percentages'!$E$13</f>
        <v>5359.0038180906886</v>
      </c>
      <c r="T9" s="84">
        <v>25</v>
      </c>
      <c r="U9" s="84">
        <v>72</v>
      </c>
      <c r="V9" s="84">
        <v>2971</v>
      </c>
      <c r="W9" s="81">
        <f>T9*'Factors &amp; Percentages'!$E$16+U9*'Factors &amp; Percentages'!$E$17+V9*'Factors &amp; Percentages'!$E$18</f>
        <v>4669.8921675194297</v>
      </c>
      <c r="X9" s="113"/>
      <c r="Y9" s="81">
        <f t="shared" si="17"/>
        <v>23541.528955625407</v>
      </c>
      <c r="Z9" s="85">
        <f t="shared" si="18"/>
        <v>23541.528955625407</v>
      </c>
      <c r="AA9" s="80">
        <f>IF($AE9&gt;$Z9,$AE9*(1+'Factors &amp; Percentages'!$B$3),IF($Y9&gt;$Z9,$Z9,IF($Y9&gt;$AE9,$Y9,$AE9*(1+'Factors &amp; Percentages'!$B$3))))</f>
        <v>23541.528955625407</v>
      </c>
      <c r="AB9" s="80">
        <f t="shared" si="19"/>
        <v>23541.528955625407</v>
      </c>
      <c r="AC9" s="85"/>
      <c r="AD9" s="80">
        <f t="shared" si="20"/>
        <v>23541.528955625407</v>
      </c>
      <c r="AE9" s="86">
        <v>12000</v>
      </c>
      <c r="AF9" s="87"/>
      <c r="AG9" s="88"/>
      <c r="AH9" s="88"/>
      <c r="AI9" s="88"/>
      <c r="AJ9" s="5"/>
    </row>
    <row r="10" spans="1:36" x14ac:dyDescent="0.3">
      <c r="A10" s="91" t="s">
        <v>181</v>
      </c>
      <c r="B10" s="76" t="s">
        <v>8</v>
      </c>
      <c r="C10" s="76" t="s">
        <v>175</v>
      </c>
      <c r="D10" s="31"/>
      <c r="E10" s="43">
        <f t="shared" si="14"/>
        <v>9152.0638788381038</v>
      </c>
      <c r="F10" s="29"/>
      <c r="G10" s="51">
        <v>2191</v>
      </c>
      <c r="H10" s="59">
        <v>3199</v>
      </c>
      <c r="I10" s="51">
        <v>43259</v>
      </c>
      <c r="J10" s="59">
        <v>10975</v>
      </c>
      <c r="K10" s="49">
        <v>2893</v>
      </c>
      <c r="L10" s="29"/>
      <c r="M10" s="62">
        <f t="shared" si="15"/>
        <v>3488.3</v>
      </c>
      <c r="N10" s="58">
        <f t="shared" si="16"/>
        <v>44356.5</v>
      </c>
      <c r="O10" s="46">
        <f>SUM(M10*'Factors &amp; Percentages'!$E$6+N10*'Factors &amp; Percentages'!$E$7)</f>
        <v>2878.3318466950136</v>
      </c>
      <c r="P10" s="65">
        <v>0.25</v>
      </c>
      <c r="Q10" s="46">
        <f>P10*'Factors &amp; Percentages'!$E$10</f>
        <v>2741.3939477921858</v>
      </c>
      <c r="R10" s="69">
        <v>949</v>
      </c>
      <c r="S10" s="46">
        <f>R10*'Factors &amp; Percentages'!$E$13</f>
        <v>1685.1208162253358</v>
      </c>
      <c r="T10" s="63">
        <v>12</v>
      </c>
      <c r="U10" s="64">
        <v>25</v>
      </c>
      <c r="V10" s="63">
        <v>141</v>
      </c>
      <c r="W10" s="46">
        <f>T10*'Factors &amp; Percentages'!$E$16+U10*'Factors &amp; Percentages'!$E$17+V10*'Factors &amp; Percentages'!$E$18</f>
        <v>1847.2172681255681</v>
      </c>
      <c r="X10" s="114"/>
      <c r="Y10" s="58">
        <f t="shared" si="17"/>
        <v>9152.0638788381038</v>
      </c>
      <c r="Z10" s="71">
        <f t="shared" si="18"/>
        <v>9152.0638788381038</v>
      </c>
      <c r="AA10" s="51">
        <f>IF($AE10&gt;$Z10,$AE10*(1+'Factors &amp; Percentages'!$B$3),IF($Y10&gt;$Z10,$Z10,IF($Y10&gt;$AE10,$Y10,$AE10*(1+'Factors &amp; Percentages'!$B$3))))</f>
        <v>9152.0638788381038</v>
      </c>
      <c r="AB10" s="59">
        <f t="shared" si="19"/>
        <v>9152.0638788381038</v>
      </c>
      <c r="AC10" s="42"/>
      <c r="AD10" s="43">
        <f t="shared" si="20"/>
        <v>9152.0638788381038</v>
      </c>
      <c r="AE10" s="75">
        <v>925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182</v>
      </c>
      <c r="B11" s="78" t="s">
        <v>8</v>
      </c>
      <c r="C11" s="78" t="s">
        <v>175</v>
      </c>
      <c r="D11" s="79"/>
      <c r="E11" s="80">
        <f t="shared" si="14"/>
        <v>9311.5210831670411</v>
      </c>
      <c r="F11" s="80"/>
      <c r="G11" s="80">
        <v>15107</v>
      </c>
      <c r="H11" s="80">
        <v>16089</v>
      </c>
      <c r="I11" s="80">
        <v>13315</v>
      </c>
      <c r="J11" s="80">
        <v>36510</v>
      </c>
      <c r="K11" s="80">
        <v>3990</v>
      </c>
      <c r="L11" s="80"/>
      <c r="M11" s="81">
        <f t="shared" si="15"/>
        <v>16488</v>
      </c>
      <c r="N11" s="81">
        <f t="shared" si="16"/>
        <v>16966</v>
      </c>
      <c r="O11" s="81">
        <f>SUM(M11*'Factors &amp; Percentages'!$E$6+N11*'Factors &amp; Percentages'!$E$7)</f>
        <v>2322.5850792924948</v>
      </c>
      <c r="P11" s="82">
        <v>0.25</v>
      </c>
      <c r="Q11" s="81">
        <f>P11*'Factors &amp; Percentages'!$E$10</f>
        <v>2741.3939477921858</v>
      </c>
      <c r="R11" s="83">
        <v>945</v>
      </c>
      <c r="S11" s="81">
        <f>R11*'Factors &amp; Percentages'!$E$13</f>
        <v>1678.0180941337642</v>
      </c>
      <c r="T11" s="84">
        <v>15</v>
      </c>
      <c r="U11" s="84">
        <v>26</v>
      </c>
      <c r="V11" s="84">
        <v>2222</v>
      </c>
      <c r="W11" s="81">
        <f>T11*'Factors &amp; Percentages'!$E$16+U11*'Factors &amp; Percentages'!$E$17+V11*'Factors &amp; Percentages'!$E$18</f>
        <v>2569.5239619485974</v>
      </c>
      <c r="X11" s="113"/>
      <c r="Y11" s="81">
        <f t="shared" si="17"/>
        <v>9311.5210831670411</v>
      </c>
      <c r="Z11" s="85">
        <f t="shared" si="18"/>
        <v>9311.5210831670411</v>
      </c>
      <c r="AA11" s="80">
        <f>IF($AE11&gt;$Z11,$AE11*(1+'Factors &amp; Percentages'!$B$3),IF($Y11&gt;$Z11,$Z11,IF($Y11&gt;$AE11,$Y11,$AE11*(1+'Factors &amp; Percentages'!$B$3))))</f>
        <v>9311.5210831670411</v>
      </c>
      <c r="AB11" s="80">
        <f t="shared" si="19"/>
        <v>9311.5210831670411</v>
      </c>
      <c r="AC11" s="85"/>
      <c r="AD11" s="80">
        <f t="shared" si="20"/>
        <v>9311.5210831670411</v>
      </c>
      <c r="AE11" s="86">
        <v>9200</v>
      </c>
      <c r="AF11" s="87"/>
      <c r="AG11" s="88"/>
      <c r="AH11" s="88"/>
      <c r="AI11" s="88"/>
      <c r="AJ11" s="5"/>
    </row>
    <row r="12" spans="1:36" x14ac:dyDescent="0.3">
      <c r="A12" s="91" t="s">
        <v>183</v>
      </c>
      <c r="B12" s="76" t="s">
        <v>8</v>
      </c>
      <c r="C12" s="76" t="s">
        <v>175</v>
      </c>
      <c r="D12" s="31"/>
      <c r="E12" s="43">
        <f t="shared" si="14"/>
        <v>21000</v>
      </c>
      <c r="F12" s="29"/>
      <c r="G12" s="51">
        <f>26948-200</f>
        <v>26748</v>
      </c>
      <c r="H12" s="59">
        <v>32570</v>
      </c>
      <c r="I12" s="51">
        <v>65436</v>
      </c>
      <c r="J12" s="59">
        <v>62728</v>
      </c>
      <c r="K12" s="49">
        <v>852</v>
      </c>
      <c r="L12" s="29"/>
      <c r="M12" s="62">
        <f t="shared" ref="M12:M13" si="21">H12+K12*0.1</f>
        <v>32655.200000000001</v>
      </c>
      <c r="N12" s="58">
        <f t="shared" ref="N12:N13" si="22">I12+0.1*J12</f>
        <v>71708.800000000003</v>
      </c>
      <c r="O12" s="46">
        <f>SUM(M12*'Factors &amp; Percentages'!$E$6+N12*'Factors &amp; Percentages'!$E$7)</f>
        <v>6831.176827913775</v>
      </c>
      <c r="P12" s="65">
        <v>0.5</v>
      </c>
      <c r="Q12" s="46">
        <f>P12*'Factors &amp; Percentages'!$E$10</f>
        <v>5482.7878955843717</v>
      </c>
      <c r="R12" s="69">
        <v>621</v>
      </c>
      <c r="S12" s="46">
        <f>R12*'Factors &amp; Percentages'!$E$13</f>
        <v>1102.6976047164737</v>
      </c>
      <c r="T12" s="63">
        <v>27</v>
      </c>
      <c r="U12" s="64">
        <v>64</v>
      </c>
      <c r="V12" s="63">
        <v>7343</v>
      </c>
      <c r="W12" s="46">
        <f>T12*'Factors &amp; Percentages'!$E$16+U12*'Factors &amp; Percentages'!$E$17+V12*'Factors &amp; Percentages'!$E$18</f>
        <v>5513.4229308670419</v>
      </c>
      <c r="X12" s="114"/>
      <c r="Y12" s="58">
        <f t="shared" ref="Y12:Y13" si="23">O12+Q12+S12+W12</f>
        <v>18930.085259081661</v>
      </c>
      <c r="Z12" s="71">
        <f t="shared" ref="Z12:Z13" si="24">IF($I12&gt;($H12+$G12)/2,$Y12,MIN(Y12,$H12*0.65))</f>
        <v>18930.085259081661</v>
      </c>
      <c r="AA12" s="51">
        <f>IF($AE12&gt;$Z12,$AE12*(1+'Factors &amp; Percentages'!$B$3),IF($Y12&gt;$Z12,$Z12,IF($Y12&gt;$AE12,$Y12,$AE12*(1+'Factors &amp; Percentages'!$B$3))))</f>
        <v>21000</v>
      </c>
      <c r="AB12" s="59">
        <f t="shared" ref="AB12:AB13" si="25">MIN(AA12,+P12*2*88928)</f>
        <v>21000</v>
      </c>
      <c r="AC12" s="42"/>
      <c r="AD12" s="43">
        <f t="shared" ref="AD12:AD13" si="26">AB12</f>
        <v>21000</v>
      </c>
      <c r="AE12" s="75">
        <v>20000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184</v>
      </c>
      <c r="B13" s="78" t="s">
        <v>8</v>
      </c>
      <c r="C13" s="78" t="s">
        <v>175</v>
      </c>
      <c r="D13" s="79"/>
      <c r="E13" s="80">
        <f t="shared" ref="E13" si="27">+AB13</f>
        <v>22614.9</v>
      </c>
      <c r="F13" s="80"/>
      <c r="G13" s="80">
        <v>37512</v>
      </c>
      <c r="H13" s="80">
        <v>29005</v>
      </c>
      <c r="I13" s="80">
        <v>12984</v>
      </c>
      <c r="J13" s="80">
        <v>352426</v>
      </c>
      <c r="K13" s="80">
        <v>27084</v>
      </c>
      <c r="L13" s="80"/>
      <c r="M13" s="81">
        <f t="shared" si="21"/>
        <v>31713.4</v>
      </c>
      <c r="N13" s="81">
        <f t="shared" si="22"/>
        <v>48226.6</v>
      </c>
      <c r="O13" s="81">
        <f>SUM(M13*'Factors &amp; Percentages'!$E$6+N13*'Factors &amp; Percentages'!$E$7)</f>
        <v>5380.346219797204</v>
      </c>
      <c r="P13" s="82">
        <v>0.25</v>
      </c>
      <c r="Q13" s="81">
        <f>P13*'Factors &amp; Percentages'!$E$10</f>
        <v>2741.3939477921858</v>
      </c>
      <c r="R13" s="83">
        <v>7625</v>
      </c>
      <c r="S13" s="81">
        <f>R13*'Factors &amp; Percentages'!$E$13</f>
        <v>13539.563987058151</v>
      </c>
      <c r="T13" s="84">
        <v>23</v>
      </c>
      <c r="U13" s="84">
        <v>72</v>
      </c>
      <c r="V13" s="84">
        <v>2435</v>
      </c>
      <c r="W13" s="81">
        <f>T13*'Factors &amp; Percentages'!$E$16+U13*'Factors &amp; Percentages'!$E$17+V13*'Factors &amp; Percentages'!$E$18</f>
        <v>4347.9210868460004</v>
      </c>
      <c r="X13" s="113"/>
      <c r="Y13" s="81">
        <f t="shared" si="23"/>
        <v>26009.225241493539</v>
      </c>
      <c r="Z13" s="85">
        <f t="shared" si="24"/>
        <v>18853.25</v>
      </c>
      <c r="AA13" s="80">
        <f>IF($AE13&gt;$Z13,$AE13*(1+'Factors &amp; Percentages'!$B$3),IF($Y13&gt;$Z13,$Z13,IF($Y13&gt;$AE13,$Y13,$AE13*(1+'Factors &amp; Percentages'!$B$3))))</f>
        <v>22614.9</v>
      </c>
      <c r="AB13" s="80">
        <f t="shared" si="25"/>
        <v>22614.9</v>
      </c>
      <c r="AC13" s="85"/>
      <c r="AD13" s="80">
        <f t="shared" si="26"/>
        <v>22614.9</v>
      </c>
      <c r="AE13" s="86">
        <v>21538</v>
      </c>
      <c r="AF13" s="87"/>
      <c r="AG13" s="88"/>
      <c r="AH13" s="88"/>
      <c r="AI13" s="88"/>
      <c r="AJ13" s="5"/>
    </row>
    <row r="14" spans="1:36" s="89" customFormat="1" x14ac:dyDescent="0.3">
      <c r="A14" s="90"/>
      <c r="B14" s="78"/>
      <c r="C14" s="78"/>
      <c r="D14" s="79"/>
      <c r="E14" s="80"/>
      <c r="F14" s="80"/>
      <c r="G14" s="80"/>
      <c r="H14" s="80"/>
      <c r="I14" s="80"/>
      <c r="J14" s="80"/>
      <c r="K14" s="80"/>
      <c r="L14" s="80"/>
      <c r="M14" s="81"/>
      <c r="N14" s="81"/>
      <c r="O14" s="81"/>
      <c r="P14" s="82"/>
      <c r="Q14" s="81"/>
      <c r="R14" s="83"/>
      <c r="S14" s="81"/>
      <c r="T14" s="84"/>
      <c r="U14" s="84"/>
      <c r="V14" s="84"/>
      <c r="W14" s="81"/>
      <c r="X14" s="113"/>
      <c r="Y14" s="81"/>
      <c r="Z14" s="85"/>
      <c r="AA14" s="80"/>
      <c r="AB14" s="80"/>
      <c r="AC14" s="85"/>
      <c r="AD14" s="80"/>
      <c r="AE14" s="86"/>
      <c r="AF14" s="87"/>
      <c r="AG14" s="88"/>
      <c r="AH14" s="88"/>
      <c r="AI14" s="88"/>
      <c r="AJ14" s="5"/>
    </row>
    <row r="15" spans="1:36" ht="15" thickBot="1" x14ac:dyDescent="0.35">
      <c r="E15" s="44">
        <f>SUM(E3:E13)</f>
        <v>155690.55443551904</v>
      </c>
      <c r="F15" s="41"/>
      <c r="G15" s="52">
        <f>SUM(G3:G14)</f>
        <v>199884</v>
      </c>
      <c r="H15" s="60">
        <f>SUM(H3:H14)</f>
        <v>214873</v>
      </c>
      <c r="I15" s="52">
        <f>SUM(I3:I14)</f>
        <v>372472</v>
      </c>
      <c r="J15" s="60">
        <f>SUM(J3:J14)</f>
        <v>678619</v>
      </c>
      <c r="K15" s="50">
        <f>SUM(K3:K14)</f>
        <v>71472</v>
      </c>
      <c r="L15" s="41"/>
      <c r="M15" s="60">
        <f t="shared" ref="M15:W15" si="28">SUM(M3:M14)</f>
        <v>222020.2</v>
      </c>
      <c r="N15" s="52">
        <f t="shared" si="28"/>
        <v>440333.89999999997</v>
      </c>
      <c r="O15" s="47">
        <f t="shared" si="28"/>
        <v>43680.529984746106</v>
      </c>
      <c r="P15" s="67">
        <f t="shared" si="28"/>
        <v>3.5</v>
      </c>
      <c r="Q15" s="47">
        <f t="shared" si="28"/>
        <v>38379.515269090603</v>
      </c>
      <c r="R15" s="67">
        <f t="shared" si="28"/>
        <v>32846</v>
      </c>
      <c r="S15" s="47">
        <f t="shared" si="28"/>
        <v>58324.002454939291</v>
      </c>
      <c r="T15" s="67">
        <f t="shared" si="28"/>
        <v>218</v>
      </c>
      <c r="U15" s="68">
        <f t="shared" si="28"/>
        <v>424</v>
      </c>
      <c r="V15" s="67">
        <f t="shared" si="28"/>
        <v>31001</v>
      </c>
      <c r="W15" s="47">
        <f t="shared" si="28"/>
        <v>37947.432636202626</v>
      </c>
      <c r="X15" s="115"/>
      <c r="Y15" s="52">
        <f>SUM(Y3:Y14)</f>
        <v>178331.48034497863</v>
      </c>
      <c r="Z15" s="60">
        <f>SUM(Z3:Z14)</f>
        <v>149858.98969460069</v>
      </c>
      <c r="AA15" s="56">
        <f>SUM(AA3:AA13)</f>
        <v>155690.55443551904</v>
      </c>
      <c r="AB15" s="74">
        <f>SUM(AB3:AB13)</f>
        <v>155690.55443551904</v>
      </c>
      <c r="AC15" s="29"/>
      <c r="AD15" s="44">
        <f>SUM(AD3:AD13)</f>
        <v>155690.55443551904</v>
      </c>
      <c r="AE15" s="56">
        <f>SUM(AE3:AE13)</f>
        <v>93726.7</v>
      </c>
      <c r="AF15" s="36"/>
      <c r="AG15" s="37"/>
      <c r="AH15" s="37"/>
      <c r="AI15" s="37"/>
      <c r="AJ15" s="6"/>
    </row>
    <row r="16" spans="1:36" ht="15" hidden="1" thickTop="1" x14ac:dyDescent="0.3"/>
  </sheetData>
  <sheetProtection algorithmName="SHA-512" hashValue="WG11YTSxUmOgmasOwP2AVJPvWdv2SRHYsWtfTfUUKD2Xv6K3nYFNtxMC8vR0eL04+Pi0OGlqyJLuL2CZe32pww==" saltValue="yxanm8bMOTLVTe4uSbdLyg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435B-BD4F-44A2-8CA6-4189F85BB61B}">
  <dimension ref="A1:AV16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164</v>
      </c>
      <c r="B3" s="78" t="s">
        <v>75</v>
      </c>
      <c r="C3" s="78" t="s">
        <v>163</v>
      </c>
      <c r="D3" s="79"/>
      <c r="E3" s="80">
        <f t="shared" ref="E3:E7" si="0">+AB3</f>
        <v>27329.695477839177</v>
      </c>
      <c r="F3" s="80"/>
      <c r="G3" s="80">
        <v>40109</v>
      </c>
      <c r="H3" s="80">
        <v>40424</v>
      </c>
      <c r="I3" s="80">
        <v>42470</v>
      </c>
      <c r="J3" s="80">
        <v>18733</v>
      </c>
      <c r="K3" s="80">
        <v>1190</v>
      </c>
      <c r="L3" s="80"/>
      <c r="M3" s="81">
        <f t="shared" ref="M3:M7" si="1">H3+K3*0.1</f>
        <v>40543</v>
      </c>
      <c r="N3" s="81">
        <f t="shared" ref="N3:N7" si="2">I3+0.1*J3</f>
        <v>44343.3</v>
      </c>
      <c r="O3" s="81">
        <f>SUM(M3*'Factors &amp; Percentages'!$E$6+N3*'Factors &amp; Percentages'!$E$7)</f>
        <v>5864.7889965780068</v>
      </c>
      <c r="P3" s="82">
        <v>0.5</v>
      </c>
      <c r="Q3" s="81">
        <f>P3*'Factors &amp; Percentages'!$E$10</f>
        <v>5482.7878955843717</v>
      </c>
      <c r="R3" s="83">
        <v>4911</v>
      </c>
      <c r="S3" s="81">
        <f>R3*'Factors &amp; Percentages'!$E$13</f>
        <v>8720.3670479268949</v>
      </c>
      <c r="T3" s="84">
        <v>36</v>
      </c>
      <c r="U3" s="84">
        <v>81</v>
      </c>
      <c r="V3" s="84">
        <v>9723</v>
      </c>
      <c r="W3" s="81">
        <f>T3*'Factors &amp; Percentages'!$E$16+U3*'Factors &amp; Percentages'!$E$17+V3*'Factors &amp; Percentages'!$E$18</f>
        <v>7261.7515377499039</v>
      </c>
      <c r="X3" s="113"/>
      <c r="Y3" s="81">
        <f t="shared" ref="Y3:Y7" si="3">O3+Q3+S3+W3</f>
        <v>27329.695477839177</v>
      </c>
      <c r="Z3" s="85">
        <f t="shared" ref="Z3:Z7" si="4">IF($I3&gt;($H3+$G3)/2,$Y3,MIN(Y3,$H3*0.65))</f>
        <v>27329.695477839177</v>
      </c>
      <c r="AA3" s="80">
        <f>IF($AE3&gt;$Z3,$AE3*(1+'Factors &amp; Percentages'!$B$3),IF($Y3&gt;$Z3,$Z3,IF($Y3&gt;$AE3,$Y3,$AE3*(1+'Factors &amp; Percentages'!$B$3))))</f>
        <v>27329.695477839177</v>
      </c>
      <c r="AB3" s="80">
        <f t="shared" ref="AB3:AB7" si="5">MIN(AA3,+P3*2*88928)</f>
        <v>27329.695477839177</v>
      </c>
      <c r="AC3" s="85"/>
      <c r="AD3" s="80">
        <f t="shared" ref="AD3:AD7" si="6">AB3</f>
        <v>27329.695477839177</v>
      </c>
      <c r="AE3" s="86">
        <v>26713</v>
      </c>
      <c r="AF3" s="87"/>
      <c r="AG3" s="88"/>
      <c r="AH3" s="88"/>
      <c r="AI3" s="88"/>
      <c r="AJ3" s="5"/>
    </row>
    <row r="4" spans="1:36" x14ac:dyDescent="0.3">
      <c r="A4" s="91" t="s">
        <v>165</v>
      </c>
      <c r="B4" s="76" t="s">
        <v>75</v>
      </c>
      <c r="C4" s="76" t="s">
        <v>163</v>
      </c>
      <c r="D4" s="31"/>
      <c r="E4" s="43">
        <f t="shared" si="0"/>
        <v>25709.113968502275</v>
      </c>
      <c r="F4" s="29"/>
      <c r="G4" s="51">
        <f>43207-16335</f>
        <v>26872</v>
      </c>
      <c r="H4" s="59">
        <v>34887</v>
      </c>
      <c r="I4" s="51">
        <v>41380</v>
      </c>
      <c r="J4" s="59">
        <v>4167</v>
      </c>
      <c r="K4" s="49">
        <v>643</v>
      </c>
      <c r="L4" s="29"/>
      <c r="M4" s="62">
        <f t="shared" si="1"/>
        <v>34951.300000000003</v>
      </c>
      <c r="N4" s="58">
        <f t="shared" si="2"/>
        <v>41796.699999999997</v>
      </c>
      <c r="O4" s="46">
        <f>SUM(M4*'Factors &amp; Percentages'!$E$6+N4*'Factors &amp; Percentages'!$E$7)</f>
        <v>5264.8983179936859</v>
      </c>
      <c r="P4" s="65">
        <v>0.5</v>
      </c>
      <c r="Q4" s="46">
        <f>P4*'Factors &amp; Percentages'!$E$10</f>
        <v>5482.7878955843717</v>
      </c>
      <c r="R4" s="69">
        <v>5284</v>
      </c>
      <c r="S4" s="46">
        <f>R4*'Factors &amp; Percentages'!$E$13</f>
        <v>9382.6958829659379</v>
      </c>
      <c r="T4" s="63">
        <v>25</v>
      </c>
      <c r="U4" s="64">
        <v>80</v>
      </c>
      <c r="V4" s="63">
        <v>7385</v>
      </c>
      <c r="W4" s="46">
        <f>T4*'Factors &amp; Percentages'!$E$16+U4*'Factors &amp; Percentages'!$E$17+V4*'Factors &amp; Percentages'!$E$18</f>
        <v>5578.7318719582809</v>
      </c>
      <c r="X4" s="114"/>
      <c r="Y4" s="58">
        <f t="shared" si="3"/>
        <v>25709.113968502275</v>
      </c>
      <c r="Z4" s="71">
        <f t="shared" si="4"/>
        <v>25709.113968502275</v>
      </c>
      <c r="AA4" s="51">
        <f>IF($AE4&gt;$Z4,$AE4*(1+'Factors &amp; Percentages'!$B$3),IF($Y4&gt;$Z4,$Z4,IF($Y4&gt;$AE4,$Y4,$AE4*(1+'Factors &amp; Percentages'!$B$3))))</f>
        <v>25709.113968502275</v>
      </c>
      <c r="AB4" s="59">
        <f t="shared" si="5"/>
        <v>25709.113968502275</v>
      </c>
      <c r="AC4" s="42"/>
      <c r="AD4" s="43">
        <f t="shared" si="6"/>
        <v>25709.113968502275</v>
      </c>
      <c r="AE4" s="75">
        <v>12000</v>
      </c>
      <c r="AF4" s="32"/>
      <c r="AG4" s="33"/>
      <c r="AH4" s="33"/>
      <c r="AI4" s="33"/>
      <c r="AJ4" s="5"/>
    </row>
    <row r="5" spans="1:36" s="89" customFormat="1" x14ac:dyDescent="0.3">
      <c r="A5" s="90" t="s">
        <v>166</v>
      </c>
      <c r="B5" s="78" t="s">
        <v>75</v>
      </c>
      <c r="C5" s="78" t="s">
        <v>163</v>
      </c>
      <c r="D5" s="79"/>
      <c r="E5" s="80">
        <f t="shared" si="0"/>
        <v>20125.074358577651</v>
      </c>
      <c r="F5" s="80"/>
      <c r="G5" s="80">
        <v>24674</v>
      </c>
      <c r="H5" s="80">
        <v>38810</v>
      </c>
      <c r="I5" s="80">
        <v>55174</v>
      </c>
      <c r="J5" s="80">
        <v>0</v>
      </c>
      <c r="K5" s="80">
        <v>0</v>
      </c>
      <c r="L5" s="80"/>
      <c r="M5" s="81">
        <f t="shared" si="1"/>
        <v>38810</v>
      </c>
      <c r="N5" s="81">
        <f t="shared" si="2"/>
        <v>55174</v>
      </c>
      <c r="O5" s="81">
        <f>SUM(M5*'Factors &amp; Percentages'!$E$6+N5*'Factors &amp; Percentages'!$E$7)</f>
        <v>6359.2282044337853</v>
      </c>
      <c r="P5" s="82">
        <v>0.5</v>
      </c>
      <c r="Q5" s="81">
        <f>P5*'Factors &amp; Percentages'!$E$10</f>
        <v>5482.7878955843717</v>
      </c>
      <c r="R5" s="83">
        <v>2283</v>
      </c>
      <c r="S5" s="81">
        <f>R5*'Factors &amp; Percentages'!$E$13</f>
        <v>4053.8786337644274</v>
      </c>
      <c r="T5" s="84">
        <v>19</v>
      </c>
      <c r="U5" s="84">
        <v>64</v>
      </c>
      <c r="V5" s="84">
        <v>5220</v>
      </c>
      <c r="W5" s="81">
        <f>T5*'Factors &amp; Percentages'!$E$16+U5*'Factors &amp; Percentages'!$E$17+V5*'Factors &amp; Percentages'!$E$18</f>
        <v>4229.1796247950642</v>
      </c>
      <c r="X5" s="113"/>
      <c r="Y5" s="81">
        <f t="shared" si="3"/>
        <v>20125.074358577651</v>
      </c>
      <c r="Z5" s="85">
        <f t="shared" si="4"/>
        <v>20125.074358577651</v>
      </c>
      <c r="AA5" s="80">
        <f>IF($AE5&gt;$Z5,$AE5*(1+'Factors &amp; Percentages'!$B$3),IF($Y5&gt;$Z5,$Z5,IF($Y5&gt;$AE5,$Y5,$AE5*(1+'Factors &amp; Percentages'!$B$3))))</f>
        <v>20125.074358577651</v>
      </c>
      <c r="AB5" s="80">
        <f t="shared" si="5"/>
        <v>20125.074358577651</v>
      </c>
      <c r="AC5" s="85"/>
      <c r="AD5" s="80">
        <f t="shared" si="6"/>
        <v>20125.074358577651</v>
      </c>
      <c r="AE5" s="86">
        <v>16038</v>
      </c>
      <c r="AF5" s="87"/>
      <c r="AG5" s="88"/>
      <c r="AH5" s="88"/>
      <c r="AI5" s="88"/>
      <c r="AJ5" s="5"/>
    </row>
    <row r="6" spans="1:36" x14ac:dyDescent="0.3">
      <c r="A6" s="91" t="s">
        <v>168</v>
      </c>
      <c r="B6" s="76" t="s">
        <v>75</v>
      </c>
      <c r="C6" s="76" t="s">
        <v>163</v>
      </c>
      <c r="D6" s="31"/>
      <c r="E6" s="43">
        <f t="shared" si="0"/>
        <v>45202.5</v>
      </c>
      <c r="F6" s="29"/>
      <c r="G6" s="51">
        <v>58033</v>
      </c>
      <c r="H6" s="59">
        <v>75587</v>
      </c>
      <c r="I6" s="51">
        <v>68108</v>
      </c>
      <c r="J6" s="59">
        <v>31756</v>
      </c>
      <c r="K6" s="49">
        <v>9435</v>
      </c>
      <c r="L6" s="29"/>
      <c r="M6" s="62">
        <f t="shared" si="1"/>
        <v>76530.5</v>
      </c>
      <c r="N6" s="58">
        <f t="shared" si="2"/>
        <v>71283.600000000006</v>
      </c>
      <c r="O6" s="46">
        <f>SUM(M6*'Factors &amp; Percentages'!$E$6+N6*'Factors &amp; Percentages'!$E$7)</f>
        <v>10343.36567930839</v>
      </c>
      <c r="P6" s="65">
        <v>0.33</v>
      </c>
      <c r="Q6" s="46">
        <f>P6*'Factors &amp; Percentages'!$E$10</f>
        <v>3618.6400110856853</v>
      </c>
      <c r="R6" s="69">
        <v>2871</v>
      </c>
      <c r="S6" s="46">
        <f>R6*'Factors &amp; Percentages'!$E$13</f>
        <v>5097.9787812254363</v>
      </c>
      <c r="T6" s="63">
        <v>12</v>
      </c>
      <c r="U6" s="64">
        <v>103</v>
      </c>
      <c r="V6" s="63">
        <v>16618</v>
      </c>
      <c r="W6" s="46">
        <f>T6*'Factors &amp; Percentages'!$E$16+U6*'Factors &amp; Percentages'!$E$17+V6*'Factors &amp; Percentages'!$E$18</f>
        <v>6103.4719594918042</v>
      </c>
      <c r="X6" s="114"/>
      <c r="Y6" s="58">
        <f t="shared" si="3"/>
        <v>25163.456431111314</v>
      </c>
      <c r="Z6" s="71">
        <f t="shared" si="4"/>
        <v>25163.456431111314</v>
      </c>
      <c r="AA6" s="51">
        <f>IF($AE6&gt;$Z6,$AE6*(1+'Factors &amp; Percentages'!$B$3),IF($Y6&gt;$Z6,$Z6,IF($Y6&gt;$AE6,$Y6,$AE6*(1+'Factors &amp; Percentages'!$B$3))))</f>
        <v>45202.5</v>
      </c>
      <c r="AB6" s="59">
        <f t="shared" si="5"/>
        <v>45202.5</v>
      </c>
      <c r="AC6" s="42"/>
      <c r="AD6" s="43">
        <f t="shared" si="6"/>
        <v>45202.5</v>
      </c>
      <c r="AE6" s="75">
        <v>43050</v>
      </c>
      <c r="AF6" s="32"/>
      <c r="AG6" s="33"/>
      <c r="AH6" s="33"/>
      <c r="AI6" s="33"/>
      <c r="AJ6" s="5"/>
    </row>
    <row r="7" spans="1:36" s="89" customFormat="1" x14ac:dyDescent="0.3">
      <c r="A7" s="90" t="s">
        <v>169</v>
      </c>
      <c r="B7" s="78" t="s">
        <v>75</v>
      </c>
      <c r="C7" s="78" t="s">
        <v>163</v>
      </c>
      <c r="D7" s="79"/>
      <c r="E7" s="80">
        <f t="shared" si="0"/>
        <v>12814.1</v>
      </c>
      <c r="F7" s="80"/>
      <c r="G7" s="80">
        <f>20852-1000</f>
        <v>19852</v>
      </c>
      <c r="H7" s="80">
        <v>19714</v>
      </c>
      <c r="I7" s="80">
        <v>2781</v>
      </c>
      <c r="J7" s="80">
        <v>99212</v>
      </c>
      <c r="K7" s="80">
        <v>0</v>
      </c>
      <c r="L7" s="80"/>
      <c r="M7" s="81">
        <f t="shared" si="1"/>
        <v>19714</v>
      </c>
      <c r="N7" s="81">
        <f t="shared" si="2"/>
        <v>12702.2</v>
      </c>
      <c r="O7" s="81">
        <f>SUM(M7*'Factors &amp; Percentages'!$E$6+N7*'Factors &amp; Percentages'!$E$7)</f>
        <v>2333.0051080924868</v>
      </c>
      <c r="P7" s="82">
        <v>0.33</v>
      </c>
      <c r="Q7" s="81">
        <f>P7*'Factors &amp; Percentages'!$E$10</f>
        <v>3618.6400110856853</v>
      </c>
      <c r="R7" s="83">
        <v>3602</v>
      </c>
      <c r="S7" s="81">
        <f>R7*'Factors &amp; Percentages'!$E$13</f>
        <v>6396.0012434601258</v>
      </c>
      <c r="T7" s="84">
        <v>18</v>
      </c>
      <c r="U7" s="84">
        <v>43</v>
      </c>
      <c r="V7" s="84">
        <v>2041</v>
      </c>
      <c r="W7" s="81">
        <f>T7*'Factors &amp; Percentages'!$E$16+U7*'Factors &amp; Percentages'!$E$17+V7*'Factors &amp; Percentages'!$E$18</f>
        <v>3186.7065248816266</v>
      </c>
      <c r="X7" s="113"/>
      <c r="Y7" s="81">
        <f t="shared" si="3"/>
        <v>15534.352887519924</v>
      </c>
      <c r="Z7" s="85">
        <f t="shared" si="4"/>
        <v>12814.1</v>
      </c>
      <c r="AA7" s="80">
        <f>IF($AE7&gt;$Z7,$AE7*(1+'Factors &amp; Percentages'!$B$3),IF($Y7&gt;$Z7,$Z7,IF($Y7&gt;$AE7,$Y7,$AE7*(1+'Factors &amp; Percentages'!$B$3))))</f>
        <v>12814.1</v>
      </c>
      <c r="AB7" s="80">
        <f t="shared" si="5"/>
        <v>12814.1</v>
      </c>
      <c r="AC7" s="85"/>
      <c r="AD7" s="80">
        <f t="shared" si="6"/>
        <v>12814.1</v>
      </c>
      <c r="AE7" s="86">
        <v>10000</v>
      </c>
      <c r="AF7" s="87"/>
      <c r="AG7" s="88"/>
      <c r="AH7" s="88"/>
      <c r="AI7" s="88"/>
      <c r="AJ7" s="5"/>
    </row>
    <row r="8" spans="1:36" x14ac:dyDescent="0.3">
      <c r="A8" s="91" t="s">
        <v>167</v>
      </c>
      <c r="B8" s="76" t="s">
        <v>75</v>
      </c>
      <c r="C8" s="76" t="s">
        <v>163</v>
      </c>
      <c r="D8" s="31"/>
      <c r="E8" s="43">
        <f t="shared" ref="E8:E11" si="7">+AB8</f>
        <v>36508.5</v>
      </c>
      <c r="F8" s="29"/>
      <c r="G8" s="51">
        <f>50252-1300</f>
        <v>48952</v>
      </c>
      <c r="H8" s="59">
        <v>33913</v>
      </c>
      <c r="I8" s="51">
        <v>181885</v>
      </c>
      <c r="J8" s="59">
        <v>0</v>
      </c>
      <c r="K8" s="49">
        <v>0</v>
      </c>
      <c r="L8" s="29"/>
      <c r="M8" s="62">
        <f t="shared" ref="M8:M11" si="8">H8+K8*0.1</f>
        <v>33913</v>
      </c>
      <c r="N8" s="58">
        <f t="shared" ref="N8:N11" si="9">I8+0.1*J8</f>
        <v>181885</v>
      </c>
      <c r="O8" s="46">
        <f>SUM(M8*'Factors &amp; Percentages'!$E$6+N8*'Factors &amp; Percentages'!$E$7)</f>
        <v>13383.500686461577</v>
      </c>
      <c r="P8" s="65">
        <v>1</v>
      </c>
      <c r="Q8" s="46">
        <f>P8*'Factors &amp; Percentages'!$E$10</f>
        <v>10965.575791168743</v>
      </c>
      <c r="R8" s="69">
        <v>831</v>
      </c>
      <c r="S8" s="46">
        <f>R8*'Factors &amp; Percentages'!$E$13</f>
        <v>1475.5905145239769</v>
      </c>
      <c r="T8" s="63">
        <v>27</v>
      </c>
      <c r="U8" s="64">
        <v>50</v>
      </c>
      <c r="V8" s="63">
        <v>8167</v>
      </c>
      <c r="W8" s="46">
        <f>T8*'Factors &amp; Percentages'!$E$16+U8*'Factors &amp; Percentages'!$E$17+V8*'Factors &amp; Percentages'!$E$18</f>
        <v>5405.1072857639947</v>
      </c>
      <c r="X8" s="114"/>
      <c r="Y8" s="58">
        <f t="shared" ref="Y8:Y11" si="10">O8+Q8+S8+W8</f>
        <v>31229.774277918292</v>
      </c>
      <c r="Z8" s="71">
        <f t="shared" ref="Z8:Z11" si="11">IF($I8&gt;($H8+$G8)/2,$Y8,MIN(Y8,$H8*0.65))</f>
        <v>31229.774277918292</v>
      </c>
      <c r="AA8" s="51">
        <f>IF($AE8&gt;$Z8,$AE8*(1+'Factors &amp; Percentages'!$B$3),IF($Y8&gt;$Z8,$Z8,IF($Y8&gt;$AE8,$Y8,$AE8*(1+'Factors &amp; Percentages'!$B$3))))</f>
        <v>36508.5</v>
      </c>
      <c r="AB8" s="59">
        <f t="shared" ref="AB8:AB11" si="12">MIN(AA8,+P8*2*88928)</f>
        <v>36508.5</v>
      </c>
      <c r="AC8" s="42"/>
      <c r="AD8" s="43">
        <f t="shared" ref="AD8:AD11" si="13">AB8</f>
        <v>36508.5</v>
      </c>
      <c r="AE8" s="75">
        <v>34770</v>
      </c>
      <c r="AF8" s="32"/>
      <c r="AG8" s="33"/>
      <c r="AH8" s="33"/>
      <c r="AI8" s="33"/>
      <c r="AJ8" s="5"/>
    </row>
    <row r="9" spans="1:36" s="89" customFormat="1" x14ac:dyDescent="0.3">
      <c r="A9" s="90" t="s">
        <v>170</v>
      </c>
      <c r="B9" s="78" t="s">
        <v>75</v>
      </c>
      <c r="C9" s="78" t="s">
        <v>163</v>
      </c>
      <c r="D9" s="79"/>
      <c r="E9" s="80">
        <f t="shared" si="7"/>
        <v>71705.55</v>
      </c>
      <c r="F9" s="80"/>
      <c r="G9" s="80">
        <f>96219-1500-487</f>
        <v>94232</v>
      </c>
      <c r="H9" s="80">
        <v>88088</v>
      </c>
      <c r="I9" s="80">
        <v>55655</v>
      </c>
      <c r="J9" s="80">
        <v>88805</v>
      </c>
      <c r="K9" s="80">
        <v>2379</v>
      </c>
      <c r="L9" s="80"/>
      <c r="M9" s="81">
        <f t="shared" si="8"/>
        <v>88325.9</v>
      </c>
      <c r="N9" s="81">
        <f t="shared" si="9"/>
        <v>64535.5</v>
      </c>
      <c r="O9" s="81">
        <f>SUM(M9*'Factors &amp; Percentages'!$E$6+N9*'Factors &amp; Percentages'!$E$7)</f>
        <v>10899.164818833131</v>
      </c>
      <c r="P9" s="82">
        <v>0.66</v>
      </c>
      <c r="Q9" s="81">
        <f>P9*'Factors &amp; Percentages'!$E$10</f>
        <v>7237.2800221713705</v>
      </c>
      <c r="R9" s="83">
        <v>6534</v>
      </c>
      <c r="S9" s="81">
        <f>R9*'Factors &amp; Percentages'!$E$13</f>
        <v>11602.296536582027</v>
      </c>
      <c r="T9" s="84">
        <v>25</v>
      </c>
      <c r="U9" s="84">
        <v>196</v>
      </c>
      <c r="V9" s="84">
        <v>5720</v>
      </c>
      <c r="W9" s="81">
        <f>T9*'Factors &amp; Percentages'!$E$16+U9*'Factors &amp; Percentages'!$E$17+V9*'Factors &amp; Percentages'!$E$18</f>
        <v>7371.2752283896598</v>
      </c>
      <c r="X9" s="113"/>
      <c r="Y9" s="81">
        <f t="shared" si="10"/>
        <v>37110.01660597619</v>
      </c>
      <c r="Z9" s="85">
        <f t="shared" si="11"/>
        <v>37110.01660597619</v>
      </c>
      <c r="AA9" s="80">
        <f>IF($AE9&gt;$Z9,$AE9*(1+'Factors &amp; Percentages'!$B$3),IF($Y9&gt;$Z9,$Z9,IF($Y9&gt;$AE9,$Y9,$AE9*(1+'Factors &amp; Percentages'!$B$3))))</f>
        <v>71705.55</v>
      </c>
      <c r="AB9" s="80">
        <f t="shared" si="12"/>
        <v>71705.55</v>
      </c>
      <c r="AC9" s="85"/>
      <c r="AD9" s="80">
        <f t="shared" si="13"/>
        <v>71705.55</v>
      </c>
      <c r="AE9" s="86">
        <v>68291</v>
      </c>
      <c r="AF9" s="87"/>
      <c r="AG9" s="88"/>
      <c r="AH9" s="88"/>
      <c r="AI9" s="88"/>
      <c r="AJ9" s="5"/>
    </row>
    <row r="10" spans="1:36" x14ac:dyDescent="0.3">
      <c r="A10" s="91" t="s">
        <v>171</v>
      </c>
      <c r="B10" s="76" t="s">
        <v>75</v>
      </c>
      <c r="C10" s="76" t="s">
        <v>163</v>
      </c>
      <c r="D10" s="31"/>
      <c r="E10" s="43">
        <f t="shared" si="7"/>
        <v>11917.75</v>
      </c>
      <c r="F10" s="29"/>
      <c r="G10" s="51">
        <v>15591</v>
      </c>
      <c r="H10" s="59">
        <v>18335</v>
      </c>
      <c r="I10" s="51">
        <v>12826</v>
      </c>
      <c r="J10" s="59">
        <v>8557</v>
      </c>
      <c r="K10" s="49">
        <v>11385</v>
      </c>
      <c r="L10" s="29"/>
      <c r="M10" s="62">
        <f t="shared" si="8"/>
        <v>19473.5</v>
      </c>
      <c r="N10" s="58">
        <f t="shared" si="9"/>
        <v>13681.7</v>
      </c>
      <c r="O10" s="46">
        <f>SUM(M10*'Factors &amp; Percentages'!$E$6+N10*'Factors &amp; Percentages'!$E$7)</f>
        <v>2370.9674576734942</v>
      </c>
      <c r="P10" s="65">
        <v>0.33</v>
      </c>
      <c r="Q10" s="46">
        <f>P10*'Factors &amp; Percentages'!$E$10</f>
        <v>3618.6400110856853</v>
      </c>
      <c r="R10" s="69">
        <v>1341</v>
      </c>
      <c r="S10" s="46">
        <f>R10*'Factors &amp; Percentages'!$E$13</f>
        <v>2381.1875811993418</v>
      </c>
      <c r="T10" s="63">
        <v>25</v>
      </c>
      <c r="U10" s="64">
        <v>35</v>
      </c>
      <c r="V10" s="63">
        <v>4457</v>
      </c>
      <c r="W10" s="46">
        <f>T10*'Factors &amp; Percentages'!$E$16+U10*'Factors &amp; Percentages'!$E$17+V10*'Factors &amp; Percentages'!$E$18</f>
        <v>4263.6987620431701</v>
      </c>
      <c r="X10" s="114"/>
      <c r="Y10" s="58">
        <f t="shared" si="10"/>
        <v>12634.49381200169</v>
      </c>
      <c r="Z10" s="71">
        <f t="shared" si="11"/>
        <v>11917.75</v>
      </c>
      <c r="AA10" s="51">
        <f>IF($AE10&gt;$Z10,$AE10*(1+'Factors &amp; Percentages'!$B$3),IF($Y10&gt;$Z10,$Z10,IF($Y10&gt;$AE10,$Y10,$AE10*(1+'Factors &amp; Percentages'!$B$3))))</f>
        <v>11917.75</v>
      </c>
      <c r="AB10" s="59">
        <f t="shared" si="12"/>
        <v>11917.75</v>
      </c>
      <c r="AC10" s="42"/>
      <c r="AD10" s="43">
        <f t="shared" si="13"/>
        <v>11917.75</v>
      </c>
      <c r="AE10" s="75">
        <v>4000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172</v>
      </c>
      <c r="B11" s="78" t="s">
        <v>75</v>
      </c>
      <c r="C11" s="78" t="s">
        <v>163</v>
      </c>
      <c r="D11" s="79"/>
      <c r="E11" s="80">
        <f t="shared" si="7"/>
        <v>12728.95</v>
      </c>
      <c r="F11" s="80"/>
      <c r="G11" s="80">
        <f>21643-3950</f>
        <v>17693</v>
      </c>
      <c r="H11" s="80">
        <v>19583</v>
      </c>
      <c r="I11" s="80">
        <v>5364</v>
      </c>
      <c r="J11" s="80">
        <v>11808</v>
      </c>
      <c r="K11" s="80">
        <v>14</v>
      </c>
      <c r="L11" s="80"/>
      <c r="M11" s="81">
        <f t="shared" si="8"/>
        <v>19584.400000000001</v>
      </c>
      <c r="N11" s="81">
        <f t="shared" si="9"/>
        <v>6544.8</v>
      </c>
      <c r="O11" s="81">
        <f>SUM(M11*'Factors &amp; Percentages'!$E$6+N11*'Factors &amp; Percentages'!$E$7)</f>
        <v>1962.0353929872035</v>
      </c>
      <c r="P11" s="82">
        <v>0.33</v>
      </c>
      <c r="Q11" s="81">
        <f>P11*'Factors &amp; Percentages'!$E$10</f>
        <v>3618.6400110856853</v>
      </c>
      <c r="R11" s="83">
        <v>5387</v>
      </c>
      <c r="S11" s="81">
        <f>R11*'Factors &amp; Percentages'!$E$13</f>
        <v>9565.5909768239035</v>
      </c>
      <c r="T11" s="84">
        <v>30</v>
      </c>
      <c r="U11" s="84">
        <v>36</v>
      </c>
      <c r="V11" s="84">
        <v>2180</v>
      </c>
      <c r="W11" s="81">
        <f>T11*'Factors &amp; Percentages'!$E$16+U11*'Factors &amp; Percentages'!$E$17+V11*'Factors &amp; Percentages'!$E$18</f>
        <v>4459.4462819297896</v>
      </c>
      <c r="X11" s="113"/>
      <c r="Y11" s="81">
        <f t="shared" si="10"/>
        <v>19605.712662826583</v>
      </c>
      <c r="Z11" s="85">
        <f t="shared" si="11"/>
        <v>12728.95</v>
      </c>
      <c r="AA11" s="80">
        <f>IF($AE11&gt;$Z11,$AE11*(1+'Factors &amp; Percentages'!$B$3),IF($Y11&gt;$Z11,$Z11,IF($Y11&gt;$AE11,$Y11,$AE11*(1+'Factors &amp; Percentages'!$B$3))))</f>
        <v>12728.95</v>
      </c>
      <c r="AB11" s="80">
        <f t="shared" si="12"/>
        <v>12728.95</v>
      </c>
      <c r="AC11" s="85"/>
      <c r="AD11" s="80">
        <f t="shared" si="13"/>
        <v>12728.95</v>
      </c>
      <c r="AE11" s="86">
        <v>11500</v>
      </c>
      <c r="AF11" s="87"/>
      <c r="AG11" s="88"/>
      <c r="AH11" s="88"/>
      <c r="AI11" s="88"/>
      <c r="AJ11" s="5"/>
    </row>
    <row r="12" spans="1:36" x14ac:dyDescent="0.3">
      <c r="A12" s="91" t="s">
        <v>173</v>
      </c>
      <c r="B12" s="76" t="s">
        <v>75</v>
      </c>
      <c r="C12" s="76" t="s">
        <v>163</v>
      </c>
      <c r="D12" s="31"/>
      <c r="E12" s="43">
        <f t="shared" ref="E12:E13" si="14">+AB12</f>
        <v>50871.450000000004</v>
      </c>
      <c r="F12" s="29"/>
      <c r="G12" s="51">
        <f>61875-21284</f>
        <v>40591</v>
      </c>
      <c r="H12" s="59">
        <v>42355</v>
      </c>
      <c r="I12" s="51">
        <v>45934</v>
      </c>
      <c r="J12" s="59">
        <v>97188</v>
      </c>
      <c r="K12" s="49">
        <v>1185</v>
      </c>
      <c r="L12" s="29"/>
      <c r="M12" s="62">
        <f t="shared" ref="M12:M13" si="15">H12+K12*0.1</f>
        <v>42473.5</v>
      </c>
      <c r="N12" s="58">
        <f t="shared" ref="N12:N13" si="16">I12+0.1*J12</f>
        <v>55652.800000000003</v>
      </c>
      <c r="O12" s="46">
        <f>SUM(M12*'Factors &amp; Percentages'!$E$6+N12*'Factors &amp; Percentages'!$E$7)</f>
        <v>6682.6019286328037</v>
      </c>
      <c r="P12" s="65">
        <v>1</v>
      </c>
      <c r="Q12" s="46">
        <f>P12*'Factors &amp; Percentages'!$E$10</f>
        <v>10965.575791168743</v>
      </c>
      <c r="R12" s="69">
        <v>780</v>
      </c>
      <c r="S12" s="46">
        <f>R12*'Factors &amp; Percentages'!$E$13</f>
        <v>1385.0308078564403</v>
      </c>
      <c r="T12" s="63">
        <v>38</v>
      </c>
      <c r="U12" s="64">
        <v>84</v>
      </c>
      <c r="V12" s="63">
        <v>21381</v>
      </c>
      <c r="W12" s="46">
        <f>T12*'Factors &amp; Percentages'!$E$16+U12*'Factors &amp; Percentages'!$E$17+V12*'Factors &amp; Percentages'!$E$18</f>
        <v>9565.8991315821222</v>
      </c>
      <c r="X12" s="114"/>
      <c r="Y12" s="58">
        <f t="shared" ref="Y12:Y13" si="17">O12+Q12+S12+W12</f>
        <v>28599.107659240111</v>
      </c>
      <c r="Z12" s="71">
        <f t="shared" ref="Z12:Z13" si="18">IF($I12&gt;($H12+$G12)/2,$Y12,MIN(Y12,$H12*0.65))</f>
        <v>28599.107659240111</v>
      </c>
      <c r="AA12" s="51">
        <f>IF($AE12&gt;$Z12,$AE12*(1+'Factors &amp; Percentages'!$B$3),IF($Y12&gt;$Z12,$Z12,IF($Y12&gt;$AE12,$Y12,$AE12*(1+'Factors &amp; Percentages'!$B$3))))</f>
        <v>50871.450000000004</v>
      </c>
      <c r="AB12" s="59">
        <f t="shared" ref="AB12:AB13" si="19">MIN(AA12,+P12*2*88928)</f>
        <v>50871.450000000004</v>
      </c>
      <c r="AC12" s="42"/>
      <c r="AD12" s="43">
        <f t="shared" ref="AD12:AD13" si="20">AB12</f>
        <v>50871.450000000004</v>
      </c>
      <c r="AE12" s="75">
        <v>48449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174</v>
      </c>
      <c r="B13" s="78" t="s">
        <v>75</v>
      </c>
      <c r="C13" s="78" t="s">
        <v>163</v>
      </c>
      <c r="D13" s="79"/>
      <c r="E13" s="80">
        <f t="shared" si="14"/>
        <v>13782.300000000001</v>
      </c>
      <c r="F13" s="80"/>
      <c r="G13" s="80">
        <v>15771</v>
      </c>
      <c r="H13" s="80">
        <v>15771</v>
      </c>
      <c r="I13" s="80">
        <v>4695</v>
      </c>
      <c r="J13" s="80">
        <v>2012</v>
      </c>
      <c r="K13" s="80">
        <v>23367</v>
      </c>
      <c r="L13" s="80"/>
      <c r="M13" s="81">
        <f t="shared" si="15"/>
        <v>18107.7</v>
      </c>
      <c r="N13" s="81">
        <f t="shared" si="16"/>
        <v>4896.2</v>
      </c>
      <c r="O13" s="81">
        <f>SUM(M13*'Factors &amp; Percentages'!$E$6+N13*'Factors &amp; Percentages'!$E$7)</f>
        <v>1746.461477094816</v>
      </c>
      <c r="P13" s="82">
        <v>0.5</v>
      </c>
      <c r="Q13" s="81">
        <f>P13*'Factors &amp; Percentages'!$E$10</f>
        <v>5482.7878955843717</v>
      </c>
      <c r="R13" s="83">
        <v>3209</v>
      </c>
      <c r="S13" s="81">
        <f>R13*'Factors &amp; Percentages'!$E$13</f>
        <v>5698.1587979632268</v>
      </c>
      <c r="T13" s="84">
        <v>20</v>
      </c>
      <c r="U13" s="84">
        <v>51</v>
      </c>
      <c r="V13" s="84">
        <v>4318</v>
      </c>
      <c r="W13" s="81">
        <f>T13*'Factors &amp; Percentages'!$E$16+U13*'Factors &amp; Percentages'!$E$17+V13*'Factors &amp; Percentages'!$E$18</f>
        <v>3954.0679085692846</v>
      </c>
      <c r="X13" s="113"/>
      <c r="Y13" s="81">
        <f t="shared" si="17"/>
        <v>16881.476079211701</v>
      </c>
      <c r="Z13" s="85">
        <f t="shared" si="18"/>
        <v>10251.15</v>
      </c>
      <c r="AA13" s="80">
        <f>IF($AE13&gt;$Z13,$AE13*(1+'Factors &amp; Percentages'!$B$3),IF($Y13&gt;$Z13,$Z13,IF($Y13&gt;$AE13,$Y13,$AE13*(1+'Factors &amp; Percentages'!$B$3))))</f>
        <v>13782.300000000001</v>
      </c>
      <c r="AB13" s="80">
        <f t="shared" si="19"/>
        <v>13782.300000000001</v>
      </c>
      <c r="AC13" s="85"/>
      <c r="AD13" s="80">
        <f t="shared" si="20"/>
        <v>13782.300000000001</v>
      </c>
      <c r="AE13" s="86">
        <v>13126</v>
      </c>
      <c r="AF13" s="87"/>
      <c r="AG13" s="88"/>
      <c r="AH13" s="88"/>
      <c r="AI13" s="88"/>
      <c r="AJ13" s="5"/>
    </row>
    <row r="14" spans="1:36" s="89" customFormat="1" x14ac:dyDescent="0.3">
      <c r="A14" s="90"/>
      <c r="B14" s="78"/>
      <c r="C14" s="78"/>
      <c r="D14" s="79"/>
      <c r="E14" s="80"/>
      <c r="F14" s="80"/>
      <c r="G14" s="80"/>
      <c r="H14" s="80"/>
      <c r="I14" s="80"/>
      <c r="J14" s="80"/>
      <c r="K14" s="80"/>
      <c r="L14" s="80"/>
      <c r="M14" s="81"/>
      <c r="N14" s="81"/>
      <c r="O14" s="81"/>
      <c r="P14" s="82"/>
      <c r="Q14" s="81"/>
      <c r="R14" s="83"/>
      <c r="S14" s="81"/>
      <c r="T14" s="84"/>
      <c r="U14" s="84"/>
      <c r="V14" s="84"/>
      <c r="W14" s="81"/>
      <c r="X14" s="113"/>
      <c r="Y14" s="81"/>
      <c r="Z14" s="85"/>
      <c r="AA14" s="80"/>
      <c r="AB14" s="80"/>
      <c r="AC14" s="85"/>
      <c r="AD14" s="80"/>
      <c r="AE14" s="86"/>
      <c r="AF14" s="87"/>
      <c r="AG14" s="88"/>
      <c r="AH14" s="88"/>
      <c r="AI14" s="88"/>
      <c r="AJ14" s="5"/>
    </row>
    <row r="15" spans="1:36" ht="15" thickBot="1" x14ac:dyDescent="0.35">
      <c r="E15" s="44">
        <f>SUM(E3:E13)</f>
        <v>328694.98380491912</v>
      </c>
      <c r="F15" s="41"/>
      <c r="G15" s="52">
        <f>SUM(G3:G14)</f>
        <v>402370</v>
      </c>
      <c r="H15" s="60">
        <f>SUM(H3:H14)</f>
        <v>427467</v>
      </c>
      <c r="I15" s="52">
        <f>SUM(I3:I14)</f>
        <v>516272</v>
      </c>
      <c r="J15" s="60">
        <f>SUM(J3:J14)</f>
        <v>362238</v>
      </c>
      <c r="K15" s="50">
        <f>SUM(K3:K14)</f>
        <v>49598</v>
      </c>
      <c r="L15" s="41"/>
      <c r="M15" s="60">
        <f t="shared" ref="M15:W15" si="21">SUM(M3:M14)</f>
        <v>432426.8</v>
      </c>
      <c r="N15" s="52">
        <f t="shared" si="21"/>
        <v>552495.80000000005</v>
      </c>
      <c r="O15" s="47">
        <f t="shared" si="21"/>
        <v>67210.018068089383</v>
      </c>
      <c r="P15" s="67">
        <f t="shared" si="21"/>
        <v>5.98</v>
      </c>
      <c r="Q15" s="47">
        <f t="shared" si="21"/>
        <v>65574.143231189082</v>
      </c>
      <c r="R15" s="67">
        <f t="shared" si="21"/>
        <v>37033</v>
      </c>
      <c r="S15" s="47">
        <f t="shared" si="21"/>
        <v>65758.776804291745</v>
      </c>
      <c r="T15" s="67">
        <f t="shared" si="21"/>
        <v>275</v>
      </c>
      <c r="U15" s="68">
        <f t="shared" si="21"/>
        <v>823</v>
      </c>
      <c r="V15" s="67">
        <f t="shared" si="21"/>
        <v>87210</v>
      </c>
      <c r="W15" s="47">
        <f t="shared" si="21"/>
        <v>61379.3361171547</v>
      </c>
      <c r="X15" s="115"/>
      <c r="Y15" s="52">
        <f>SUM(Y3:Y14)</f>
        <v>259922.27422072494</v>
      </c>
      <c r="Z15" s="60">
        <f>SUM(Z3:Z14)</f>
        <v>242978.18877916504</v>
      </c>
      <c r="AA15" s="56">
        <f>SUM(AA3:AA13)</f>
        <v>328694.98380491912</v>
      </c>
      <c r="AB15" s="74">
        <f>SUM(AB3:AB13)</f>
        <v>328694.98380491912</v>
      </c>
      <c r="AC15" s="29"/>
      <c r="AD15" s="44">
        <f>SUM(AD3:AD13)</f>
        <v>328694.98380491912</v>
      </c>
      <c r="AE15" s="56">
        <f>SUM(AE3:AE13)</f>
        <v>287937</v>
      </c>
      <c r="AF15" s="36"/>
      <c r="AG15" s="37"/>
      <c r="AH15" s="37"/>
      <c r="AI15" s="37"/>
      <c r="AJ15" s="6"/>
    </row>
    <row r="16" spans="1:36" ht="15" hidden="1" thickTop="1" x14ac:dyDescent="0.3"/>
  </sheetData>
  <sheetProtection algorithmName="SHA-512" hashValue="Uxcc08CXJBv+0SSBbIL/u7MIoof7pWAg+z1pURpkxzw23F2wp4nlkasDgA0b7mx4VIjkhCJMbcN0PzLNhFRIXQ==" saltValue="VMomV7hjHpJF6aGqwbRVxw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03F9-D33E-4BC5-8190-6B27644D3350}">
  <dimension ref="A1:AV22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19" sqref="A19:XFD19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146</v>
      </c>
      <c r="B3" s="78" t="s">
        <v>43</v>
      </c>
      <c r="C3" s="78" t="s">
        <v>145</v>
      </c>
      <c r="D3" s="79"/>
      <c r="E3" s="80">
        <f t="shared" ref="E3:E6" si="0">+AB3</f>
        <v>17152.846654888886</v>
      </c>
      <c r="F3" s="80"/>
      <c r="G3" s="80">
        <v>21710</v>
      </c>
      <c r="H3" s="80">
        <v>28888</v>
      </c>
      <c r="I3" s="80">
        <v>22896</v>
      </c>
      <c r="J3" s="80">
        <v>0</v>
      </c>
      <c r="K3" s="80">
        <v>0</v>
      </c>
      <c r="L3" s="80"/>
      <c r="M3" s="81">
        <f t="shared" ref="M3:M6" si="1">H3+K3*0.1</f>
        <v>28888</v>
      </c>
      <c r="N3" s="81">
        <f t="shared" ref="N3:N6" si="2">I3+0.1*J3</f>
        <v>22896</v>
      </c>
      <c r="O3" s="81">
        <f>SUM(M3*'Factors &amp; Percentages'!$E$6+N3*'Factors &amp; Percentages'!$E$7)</f>
        <v>3669.4402492255258</v>
      </c>
      <c r="P3" s="82">
        <v>0.33</v>
      </c>
      <c r="Q3" s="81">
        <f>P3*'Factors &amp; Percentages'!$E$10</f>
        <v>3618.6400110856853</v>
      </c>
      <c r="R3" s="83">
        <v>3051</v>
      </c>
      <c r="S3" s="81">
        <f>R3*'Factors &amp; Percentages'!$E$13</f>
        <v>5417.6012753461537</v>
      </c>
      <c r="T3" s="84">
        <v>25</v>
      </c>
      <c r="U3" s="84">
        <v>52</v>
      </c>
      <c r="V3" s="84">
        <v>3756</v>
      </c>
      <c r="W3" s="81">
        <f>T3*'Factors &amp; Percentages'!$E$16+U3*'Factors &amp; Percentages'!$E$17+V3*'Factors &amp; Percentages'!$E$18</f>
        <v>4447.1651192315212</v>
      </c>
      <c r="X3" s="113"/>
      <c r="Y3" s="81">
        <f t="shared" ref="Y3:Y6" si="3">O3+Q3+S3+W3</f>
        <v>17152.846654888886</v>
      </c>
      <c r="Z3" s="85">
        <f t="shared" ref="Z3:Z6" si="4">IF($I3&gt;($H3+$G3)/2,$Y3,MIN(Y3,$H3*0.65))</f>
        <v>17152.846654888886</v>
      </c>
      <c r="AA3" s="80">
        <f>IF($AE3&gt;$Z3,$AE3*(1+'Factors &amp; Percentages'!$B$3),IF($Y3&gt;$Z3,$Z3,IF($Y3&gt;$AE3,$Y3,$AE3*(1+'Factors &amp; Percentages'!$B$3))))</f>
        <v>17152.846654888886</v>
      </c>
      <c r="AB3" s="80">
        <f t="shared" ref="AB3:AB6" si="5">MIN(AA3,+P3*2*88928)</f>
        <v>17152.846654888886</v>
      </c>
      <c r="AC3" s="85"/>
      <c r="AD3" s="80">
        <f t="shared" ref="AD3:AD6" si="6">AB3</f>
        <v>17152.846654888886</v>
      </c>
      <c r="AE3" s="86">
        <v>12000</v>
      </c>
      <c r="AF3" s="87"/>
      <c r="AG3" s="88"/>
      <c r="AH3" s="88"/>
      <c r="AI3" s="88"/>
      <c r="AJ3" s="5"/>
    </row>
    <row r="4" spans="1:36" x14ac:dyDescent="0.3">
      <c r="A4" s="91" t="s">
        <v>147</v>
      </c>
      <c r="B4" s="76" t="s">
        <v>43</v>
      </c>
      <c r="C4" s="76" t="s">
        <v>145</v>
      </c>
      <c r="D4" s="31"/>
      <c r="E4" s="43">
        <f t="shared" si="0"/>
        <v>40104.487323858273</v>
      </c>
      <c r="F4" s="29"/>
      <c r="G4" s="51">
        <f>58839-4348</f>
        <v>54491</v>
      </c>
      <c r="H4" s="59">
        <v>72156</v>
      </c>
      <c r="I4" s="51">
        <v>57415</v>
      </c>
      <c r="J4" s="59">
        <v>1918</v>
      </c>
      <c r="K4" s="49">
        <v>1607</v>
      </c>
      <c r="L4" s="29"/>
      <c r="M4" s="62">
        <f t="shared" si="1"/>
        <v>72316.7</v>
      </c>
      <c r="N4" s="58">
        <f t="shared" si="2"/>
        <v>57606.8</v>
      </c>
      <c r="O4" s="46">
        <f>SUM(M4*'Factors &amp; Percentages'!$E$6+N4*'Factors &amp; Percentages'!$E$7)</f>
        <v>9202.8727623529885</v>
      </c>
      <c r="P4" s="65">
        <v>0.5</v>
      </c>
      <c r="Q4" s="46">
        <f>P4*'Factors &amp; Percentages'!$E$10</f>
        <v>5482.7878955843717</v>
      </c>
      <c r="R4" s="69">
        <v>11952</v>
      </c>
      <c r="S4" s="46">
        <f>R4*'Factors &amp; Percentages'!$E$13</f>
        <v>21222.933609615608</v>
      </c>
      <c r="T4" s="63">
        <v>16</v>
      </c>
      <c r="U4" s="64">
        <v>88</v>
      </c>
      <c r="V4" s="63">
        <v>4526</v>
      </c>
      <c r="W4" s="46">
        <f>T4*'Factors &amp; Percentages'!$E$16+U4*'Factors &amp; Percentages'!$E$17+V4*'Factors &amp; Percentages'!$E$18</f>
        <v>4195.8930563053082</v>
      </c>
      <c r="X4" s="114"/>
      <c r="Y4" s="58">
        <f t="shared" si="3"/>
        <v>40104.487323858273</v>
      </c>
      <c r="Z4" s="71">
        <f t="shared" si="4"/>
        <v>40104.487323858273</v>
      </c>
      <c r="AA4" s="51">
        <f>IF($AE4&gt;$Z4,$AE4*(1+'Factors &amp; Percentages'!$B$3),IF($Y4&gt;$Z4,$Z4,IF($Y4&gt;$AE4,$Y4,$AE4*(1+'Factors &amp; Percentages'!$B$3))))</f>
        <v>40104.487323858273</v>
      </c>
      <c r="AB4" s="59">
        <f t="shared" si="5"/>
        <v>40104.487323858273</v>
      </c>
      <c r="AC4" s="42"/>
      <c r="AD4" s="43">
        <f t="shared" si="6"/>
        <v>40104.487323858273</v>
      </c>
      <c r="AE4" s="75">
        <v>24000</v>
      </c>
      <c r="AF4" s="32"/>
      <c r="AG4" s="33"/>
      <c r="AH4" s="33"/>
      <c r="AI4" s="33"/>
      <c r="AJ4" s="5"/>
    </row>
    <row r="5" spans="1:36" s="89" customFormat="1" x14ac:dyDescent="0.3">
      <c r="A5" s="90" t="s">
        <v>148</v>
      </c>
      <c r="B5" s="78" t="s">
        <v>43</v>
      </c>
      <c r="C5" s="78" t="s">
        <v>145</v>
      </c>
      <c r="D5" s="79"/>
      <c r="E5" s="80">
        <f t="shared" si="0"/>
        <v>14298.7</v>
      </c>
      <c r="F5" s="80"/>
      <c r="G5" s="80">
        <v>36426</v>
      </c>
      <c r="H5" s="80">
        <v>21998</v>
      </c>
      <c r="I5" s="80">
        <v>2675</v>
      </c>
      <c r="J5" s="80">
        <v>7692</v>
      </c>
      <c r="K5" s="80">
        <v>4826</v>
      </c>
      <c r="L5" s="80"/>
      <c r="M5" s="81">
        <f t="shared" si="1"/>
        <v>22480.6</v>
      </c>
      <c r="N5" s="81">
        <f t="shared" si="2"/>
        <v>3444.2</v>
      </c>
      <c r="O5" s="81">
        <f>SUM(M5*'Factors &amp; Percentages'!$E$6+N5*'Factors &amp; Percentages'!$E$7)</f>
        <v>2013.9745086750734</v>
      </c>
      <c r="P5" s="82">
        <v>0.5</v>
      </c>
      <c r="Q5" s="81">
        <f>P5*'Factors &amp; Percentages'!$E$10</f>
        <v>5482.7878955843717</v>
      </c>
      <c r="R5" s="83">
        <v>1497</v>
      </c>
      <c r="S5" s="81">
        <f>R5*'Factors &amp; Percentages'!$E$13</f>
        <v>2658.1937427706298</v>
      </c>
      <c r="T5" s="84">
        <v>23</v>
      </c>
      <c r="U5" s="84">
        <v>49</v>
      </c>
      <c r="V5" s="84">
        <v>8459</v>
      </c>
      <c r="W5" s="81">
        <f>T5*'Factors &amp; Percentages'!$E$16+U5*'Factors &amp; Percentages'!$E$17+V5*'Factors &amp; Percentages'!$E$18</f>
        <v>4979.7162372243138</v>
      </c>
      <c r="X5" s="113"/>
      <c r="Y5" s="81">
        <f t="shared" si="3"/>
        <v>15134.672384254391</v>
      </c>
      <c r="Z5" s="85">
        <f t="shared" si="4"/>
        <v>14298.7</v>
      </c>
      <c r="AA5" s="80">
        <f>IF($AE5&gt;$Z5,$AE5*(1+'Factors &amp; Percentages'!$B$3),IF($Y5&gt;$Z5,$Z5,IF($Y5&gt;$AE5,$Y5,$AE5*(1+'Factors &amp; Percentages'!$B$3))))</f>
        <v>14298.7</v>
      </c>
      <c r="AB5" s="80">
        <f t="shared" si="5"/>
        <v>14298.7</v>
      </c>
      <c r="AC5" s="85"/>
      <c r="AD5" s="80">
        <f t="shared" si="6"/>
        <v>14298.7</v>
      </c>
      <c r="AE5" s="86">
        <v>13200</v>
      </c>
      <c r="AF5" s="87"/>
      <c r="AG5" s="88"/>
      <c r="AH5" s="88"/>
      <c r="AI5" s="88"/>
      <c r="AJ5" s="5"/>
    </row>
    <row r="6" spans="1:36" x14ac:dyDescent="0.3">
      <c r="A6" s="91" t="s">
        <v>149</v>
      </c>
      <c r="B6" s="76" t="s">
        <v>43</v>
      </c>
      <c r="C6" s="76" t="s">
        <v>145</v>
      </c>
      <c r="D6" s="31"/>
      <c r="E6" s="43">
        <f t="shared" si="0"/>
        <v>29953.3</v>
      </c>
      <c r="F6" s="29"/>
      <c r="G6" s="51">
        <v>32528</v>
      </c>
      <c r="H6" s="59">
        <v>46082</v>
      </c>
      <c r="I6" s="51">
        <v>34077</v>
      </c>
      <c r="J6" s="59">
        <v>4564</v>
      </c>
      <c r="K6" s="49">
        <v>869</v>
      </c>
      <c r="L6" s="29"/>
      <c r="M6" s="62">
        <f t="shared" si="1"/>
        <v>46168.9</v>
      </c>
      <c r="N6" s="58">
        <f t="shared" si="2"/>
        <v>34533.4</v>
      </c>
      <c r="O6" s="46">
        <f>SUM(M6*'Factors &amp; Percentages'!$E$6+N6*'Factors &amp; Percentages'!$E$7)</f>
        <v>5743.9516279319505</v>
      </c>
      <c r="P6" s="65">
        <v>0.33</v>
      </c>
      <c r="Q6" s="46">
        <f>P6*'Factors &amp; Percentages'!$E$10</f>
        <v>3618.6400110856853</v>
      </c>
      <c r="R6" s="69">
        <v>11640</v>
      </c>
      <c r="S6" s="46">
        <f>R6*'Factors &amp; Percentages'!$E$13</f>
        <v>20668.921286473033</v>
      </c>
      <c r="T6" s="63">
        <v>30</v>
      </c>
      <c r="U6" s="64">
        <v>73</v>
      </c>
      <c r="V6" s="63">
        <v>3660</v>
      </c>
      <c r="W6" s="46">
        <f>T6*'Factors &amp; Percentages'!$E$16+U6*'Factors &amp; Percentages'!$E$17+V6*'Factors &amp; Percentages'!$E$18</f>
        <v>5379.8899397911709</v>
      </c>
      <c r="X6" s="114"/>
      <c r="Y6" s="58">
        <f t="shared" si="3"/>
        <v>35411.402865281838</v>
      </c>
      <c r="Z6" s="71">
        <f t="shared" si="4"/>
        <v>29953.3</v>
      </c>
      <c r="AA6" s="51">
        <f>IF($AE6&gt;$Z6,$AE6*(1+'Factors &amp; Percentages'!$B$3),IF($Y6&gt;$Z6,$Z6,IF($Y6&gt;$AE6,$Y6,$AE6*(1+'Factors &amp; Percentages'!$B$3))))</f>
        <v>29953.3</v>
      </c>
      <c r="AB6" s="59">
        <f t="shared" si="5"/>
        <v>29953.3</v>
      </c>
      <c r="AC6" s="42"/>
      <c r="AD6" s="43">
        <f t="shared" si="6"/>
        <v>29953.3</v>
      </c>
      <c r="AE6" s="75">
        <v>16000</v>
      </c>
      <c r="AF6" s="32"/>
      <c r="AG6" s="33"/>
      <c r="AH6" s="33"/>
      <c r="AI6" s="33"/>
      <c r="AJ6" s="5"/>
    </row>
    <row r="7" spans="1:36" s="89" customFormat="1" x14ac:dyDescent="0.3">
      <c r="A7" s="90" t="s">
        <v>150</v>
      </c>
      <c r="B7" s="78" t="s">
        <v>43</v>
      </c>
      <c r="C7" s="78" t="s">
        <v>145</v>
      </c>
      <c r="D7" s="79"/>
      <c r="E7" s="80">
        <f t="shared" ref="E7:E13" si="7">+AB7</f>
        <v>34669.320191727311</v>
      </c>
      <c r="F7" s="80"/>
      <c r="G7" s="80">
        <v>74705</v>
      </c>
      <c r="H7" s="80">
        <v>70708</v>
      </c>
      <c r="I7" s="80">
        <v>91540</v>
      </c>
      <c r="J7" s="80">
        <v>39777</v>
      </c>
      <c r="K7" s="80">
        <v>0</v>
      </c>
      <c r="L7" s="80"/>
      <c r="M7" s="81">
        <f t="shared" ref="M7:M13" si="8">H7+K7*0.1</f>
        <v>70708</v>
      </c>
      <c r="N7" s="81">
        <f t="shared" ref="N7:N13" si="9">I7+0.1*J7</f>
        <v>95517.7</v>
      </c>
      <c r="O7" s="81">
        <f>SUM(M7*'Factors &amp; Percentages'!$E$6+N7*'Factors &amp; Percentages'!$E$7)</f>
        <v>11292.904786650868</v>
      </c>
      <c r="P7" s="82">
        <v>0.5</v>
      </c>
      <c r="Q7" s="81">
        <f>P7*'Factors &amp; Percentages'!$E$10</f>
        <v>5482.7878955843717</v>
      </c>
      <c r="R7" s="83">
        <v>5855</v>
      </c>
      <c r="S7" s="81">
        <f>R7*'Factors &amp; Percentages'!$E$13</f>
        <v>10396.609461537768</v>
      </c>
      <c r="T7" s="84">
        <v>38</v>
      </c>
      <c r="U7" s="84">
        <v>85</v>
      </c>
      <c r="V7" s="84">
        <v>9345</v>
      </c>
      <c r="W7" s="81">
        <f>T7*'Factors &amp; Percentages'!$E$16+U7*'Factors &amp; Percentages'!$E$17+V7*'Factors &amp; Percentages'!$E$18</f>
        <v>7497.0180479543014</v>
      </c>
      <c r="X7" s="113"/>
      <c r="Y7" s="81">
        <f t="shared" ref="Y7:Y13" si="10">O7+Q7+S7+W7</f>
        <v>34669.320191727311</v>
      </c>
      <c r="Z7" s="85">
        <f t="shared" ref="Z7:Z13" si="11">IF($I7&gt;($H7+$G7)/2,$Y7,MIN(Y7,$H7*0.65))</f>
        <v>34669.320191727311</v>
      </c>
      <c r="AA7" s="80">
        <f>IF($AE7&gt;$Z7,$AE7*(1+'Factors &amp; Percentages'!$B$3),IF($Y7&gt;$Z7,$Z7,IF($Y7&gt;$AE7,$Y7,$AE7*(1+'Factors &amp; Percentages'!$B$3))))</f>
        <v>34669.320191727311</v>
      </c>
      <c r="AB7" s="80">
        <f t="shared" ref="AB7:AB13" si="12">MIN(AA7,+P7*2*88928)</f>
        <v>34669.320191727311</v>
      </c>
      <c r="AC7" s="85"/>
      <c r="AD7" s="80">
        <f t="shared" ref="AD7:AD13" si="13">AB7</f>
        <v>34669.320191727311</v>
      </c>
      <c r="AE7" s="86">
        <v>33665</v>
      </c>
      <c r="AF7" s="87"/>
      <c r="AG7" s="88"/>
      <c r="AH7" s="88"/>
      <c r="AI7" s="88"/>
      <c r="AJ7" s="5"/>
    </row>
    <row r="8" spans="1:36" x14ac:dyDescent="0.3">
      <c r="A8" s="91" t="s">
        <v>151</v>
      </c>
      <c r="B8" s="76" t="s">
        <v>43</v>
      </c>
      <c r="C8" s="76" t="s">
        <v>145</v>
      </c>
      <c r="D8" s="31"/>
      <c r="E8" s="43">
        <f t="shared" si="7"/>
        <v>17114.806737639989</v>
      </c>
      <c r="F8" s="29"/>
      <c r="G8" s="51">
        <f>30637-500</f>
        <v>30137</v>
      </c>
      <c r="H8" s="59">
        <v>25070</v>
      </c>
      <c r="I8" s="51">
        <v>33951</v>
      </c>
      <c r="J8" s="59">
        <v>0</v>
      </c>
      <c r="K8" s="49">
        <v>7623</v>
      </c>
      <c r="L8" s="29"/>
      <c r="M8" s="62">
        <f t="shared" si="8"/>
        <v>25832.3</v>
      </c>
      <c r="N8" s="58">
        <f t="shared" si="9"/>
        <v>33951</v>
      </c>
      <c r="O8" s="46">
        <f>SUM(M8*'Factors &amp; Percentages'!$E$6+N8*'Factors &amp; Percentages'!$E$7)</f>
        <v>4070.3806467228078</v>
      </c>
      <c r="P8" s="65">
        <v>0.5</v>
      </c>
      <c r="Q8" s="46">
        <f>P8*'Factors &amp; Percentages'!$E$10</f>
        <v>5482.7878955843717</v>
      </c>
      <c r="R8" s="69">
        <v>1134</v>
      </c>
      <c r="S8" s="46">
        <f>R8*'Factors &amp; Percentages'!$E$13</f>
        <v>2013.6217129605172</v>
      </c>
      <c r="T8" s="63">
        <v>22</v>
      </c>
      <c r="U8" s="64">
        <v>62</v>
      </c>
      <c r="V8" s="63">
        <v>11052</v>
      </c>
      <c r="W8" s="46">
        <f>T8*'Factors &amp; Percentages'!$E$16+U8*'Factors &amp; Percentages'!$E$17+V8*'Factors &amp; Percentages'!$E$18</f>
        <v>5548.0164823722916</v>
      </c>
      <c r="X8" s="114"/>
      <c r="Y8" s="58">
        <f t="shared" si="10"/>
        <v>17114.806737639989</v>
      </c>
      <c r="Z8" s="71">
        <f t="shared" si="11"/>
        <v>17114.806737639989</v>
      </c>
      <c r="AA8" s="51">
        <f>IF($AE8&gt;$Z8,$AE8*(1+'Factors &amp; Percentages'!$B$3),IF($Y8&gt;$Z8,$Z8,IF($Y8&gt;$AE8,$Y8,$AE8*(1+'Factors &amp; Percentages'!$B$3))))</f>
        <v>17114.806737639989</v>
      </c>
      <c r="AB8" s="59">
        <f t="shared" si="12"/>
        <v>17114.806737639989</v>
      </c>
      <c r="AC8" s="42"/>
      <c r="AD8" s="43">
        <f t="shared" si="13"/>
        <v>17114.806737639989</v>
      </c>
      <c r="AE8" s="75">
        <v>8000</v>
      </c>
      <c r="AF8" s="32"/>
      <c r="AG8" s="33"/>
      <c r="AH8" s="33"/>
      <c r="AI8" s="33"/>
      <c r="AJ8" s="5"/>
    </row>
    <row r="9" spans="1:36" s="89" customFormat="1" x14ac:dyDescent="0.3">
      <c r="A9" s="90" t="s">
        <v>152</v>
      </c>
      <c r="B9" s="78" t="s">
        <v>43</v>
      </c>
      <c r="C9" s="78" t="s">
        <v>145</v>
      </c>
      <c r="D9" s="79"/>
      <c r="E9" s="80">
        <f t="shared" si="7"/>
        <v>50852.55</v>
      </c>
      <c r="F9" s="80"/>
      <c r="G9" s="80">
        <v>60083</v>
      </c>
      <c r="H9" s="80">
        <v>76114</v>
      </c>
      <c r="I9" s="80">
        <v>34068</v>
      </c>
      <c r="J9" s="80">
        <v>3529</v>
      </c>
      <c r="K9" s="80">
        <v>4132</v>
      </c>
      <c r="L9" s="80"/>
      <c r="M9" s="81">
        <f t="shared" si="8"/>
        <v>76527.199999999997</v>
      </c>
      <c r="N9" s="81">
        <f t="shared" si="9"/>
        <v>34420.9</v>
      </c>
      <c r="O9" s="81">
        <f>SUM(M9*'Factors &amp; Percentages'!$E$6+N9*'Factors &amp; Percentages'!$E$7)</f>
        <v>8184.7525641898892</v>
      </c>
      <c r="P9" s="82">
        <v>0.75</v>
      </c>
      <c r="Q9" s="81">
        <f>P9*'Factors &amp; Percentages'!$E$10</f>
        <v>8224.1818433765584</v>
      </c>
      <c r="R9" s="83">
        <v>1622</v>
      </c>
      <c r="S9" s="81">
        <f>R9*'Factors &amp; Percentages'!$E$13</f>
        <v>2880.1538081322387</v>
      </c>
      <c r="T9" s="84">
        <v>57</v>
      </c>
      <c r="U9" s="84">
        <v>82</v>
      </c>
      <c r="V9" s="84">
        <v>9012</v>
      </c>
      <c r="W9" s="81">
        <f>T9*'Factors &amp; Percentages'!$E$16+U9*'Factors &amp; Percentages'!$E$17+V9*'Factors &amp; Percentages'!$E$18</f>
        <v>9561.3225961486078</v>
      </c>
      <c r="X9" s="113"/>
      <c r="Y9" s="81">
        <f t="shared" si="10"/>
        <v>28850.410811847294</v>
      </c>
      <c r="Z9" s="85">
        <f t="shared" si="11"/>
        <v>28850.410811847294</v>
      </c>
      <c r="AA9" s="80">
        <f>IF($AE9&gt;$Z9,$AE9*(1+'Factors &amp; Percentages'!$B$3),IF($Y9&gt;$Z9,$Z9,IF($Y9&gt;$AE9,$Y9,$AE9*(1+'Factors &amp; Percentages'!$B$3))))</f>
        <v>50852.55</v>
      </c>
      <c r="AB9" s="80">
        <f t="shared" si="12"/>
        <v>50852.55</v>
      </c>
      <c r="AC9" s="85"/>
      <c r="AD9" s="80">
        <f t="shared" si="13"/>
        <v>50852.55</v>
      </c>
      <c r="AE9" s="86">
        <v>48431</v>
      </c>
      <c r="AF9" s="87"/>
      <c r="AG9" s="88"/>
      <c r="AH9" s="88"/>
      <c r="AI9" s="88"/>
      <c r="AJ9" s="5"/>
    </row>
    <row r="10" spans="1:36" x14ac:dyDescent="0.3">
      <c r="A10" s="91" t="s">
        <v>153</v>
      </c>
      <c r="B10" s="76" t="s">
        <v>43</v>
      </c>
      <c r="C10" s="76" t="s">
        <v>145</v>
      </c>
      <c r="D10" s="31"/>
      <c r="E10" s="43">
        <f t="shared" si="7"/>
        <v>8240.0500000000011</v>
      </c>
      <c r="F10" s="29"/>
      <c r="G10" s="51">
        <v>13229</v>
      </c>
      <c r="H10" s="59">
        <v>12677</v>
      </c>
      <c r="I10" s="51">
        <v>3817</v>
      </c>
      <c r="J10" s="59">
        <v>6940</v>
      </c>
      <c r="K10" s="49">
        <v>0</v>
      </c>
      <c r="L10" s="29"/>
      <c r="M10" s="62">
        <f t="shared" si="8"/>
        <v>12677</v>
      </c>
      <c r="N10" s="58">
        <f t="shared" si="9"/>
        <v>4511</v>
      </c>
      <c r="O10" s="46">
        <f>SUM(M10*'Factors &amp; Percentages'!$E$6+N10*'Factors &amp; Percentages'!$E$7)</f>
        <v>1286.1021781032318</v>
      </c>
      <c r="P10" s="65">
        <v>0.33</v>
      </c>
      <c r="Q10" s="46">
        <f>P10*'Factors &amp; Percentages'!$E$10</f>
        <v>3618.6400110856853</v>
      </c>
      <c r="R10" s="69">
        <v>1742</v>
      </c>
      <c r="S10" s="46">
        <f>R10*'Factors &amp; Percentages'!$E$13</f>
        <v>3093.2354708793837</v>
      </c>
      <c r="T10" s="63">
        <v>8</v>
      </c>
      <c r="U10" s="64">
        <v>27</v>
      </c>
      <c r="V10" s="63">
        <v>11367</v>
      </c>
      <c r="W10" s="46">
        <f>T10*'Factors &amp; Percentages'!$E$16+U10*'Factors &amp; Percentages'!$E$17+V10*'Factors &amp; Percentages'!$E$18</f>
        <v>3371.4069648928862</v>
      </c>
      <c r="X10" s="114"/>
      <c r="Y10" s="58">
        <f t="shared" si="10"/>
        <v>11369.384624961187</v>
      </c>
      <c r="Z10" s="71">
        <f t="shared" si="11"/>
        <v>8240.0500000000011</v>
      </c>
      <c r="AA10" s="51">
        <f>IF($AE10&gt;$Z10,$AE10*(1+'Factors &amp; Percentages'!$B$3),IF($Y10&gt;$Z10,$Z10,IF($Y10&gt;$AE10,$Y10,$AE10*(1+'Factors &amp; Percentages'!$B$3))))</f>
        <v>8240.0500000000011</v>
      </c>
      <c r="AB10" s="59">
        <f t="shared" si="12"/>
        <v>8240.0500000000011</v>
      </c>
      <c r="AC10" s="42"/>
      <c r="AD10" s="43">
        <f t="shared" si="13"/>
        <v>8240.0500000000011</v>
      </c>
      <c r="AE10" s="75">
        <v>5000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154</v>
      </c>
      <c r="B11" s="78" t="s">
        <v>43</v>
      </c>
      <c r="C11" s="78" t="s">
        <v>145</v>
      </c>
      <c r="D11" s="79"/>
      <c r="E11" s="80">
        <f t="shared" si="7"/>
        <v>15529.15</v>
      </c>
      <c r="F11" s="80"/>
      <c r="G11" s="80">
        <v>15396</v>
      </c>
      <c r="H11" s="80">
        <v>23891</v>
      </c>
      <c r="I11" s="80">
        <v>15382</v>
      </c>
      <c r="J11" s="80">
        <v>8956</v>
      </c>
      <c r="K11" s="80">
        <v>0</v>
      </c>
      <c r="L11" s="80"/>
      <c r="M11" s="81">
        <f t="shared" si="8"/>
        <v>23891</v>
      </c>
      <c r="N11" s="81">
        <f t="shared" si="9"/>
        <v>16277.6</v>
      </c>
      <c r="O11" s="81">
        <f>SUM(M11*'Factors &amp; Percentages'!$E$6+N11*'Factors &amp; Percentages'!$E$7)</f>
        <v>2879.0844945448221</v>
      </c>
      <c r="P11" s="82">
        <v>1</v>
      </c>
      <c r="Q11" s="81">
        <f>P11*'Factors &amp; Percentages'!$E$10</f>
        <v>10965.575791168743</v>
      </c>
      <c r="R11" s="83">
        <v>807</v>
      </c>
      <c r="S11" s="81">
        <f>R11*'Factors &amp; Percentages'!$E$13</f>
        <v>1432.9741819745479</v>
      </c>
      <c r="T11" s="84">
        <v>18</v>
      </c>
      <c r="U11" s="84">
        <v>48</v>
      </c>
      <c r="V11" s="84">
        <v>8420</v>
      </c>
      <c r="W11" s="81">
        <f>T11*'Factors &amp; Percentages'!$E$16+U11*'Factors &amp; Percentages'!$E$17+V11*'Factors &amp; Percentages'!$E$18</f>
        <v>4382.4165984826905</v>
      </c>
      <c r="X11" s="113"/>
      <c r="Y11" s="81">
        <f t="shared" si="10"/>
        <v>19660.051066170803</v>
      </c>
      <c r="Z11" s="85">
        <f t="shared" si="11"/>
        <v>15529.15</v>
      </c>
      <c r="AA11" s="80">
        <f>IF($AE11&gt;$Z11,$AE11*(1+'Factors &amp; Percentages'!$B$3),IF($Y11&gt;$Z11,$Z11,IF($Y11&gt;$AE11,$Y11,$AE11*(1+'Factors &amp; Percentages'!$B$3))))</f>
        <v>15529.15</v>
      </c>
      <c r="AB11" s="80">
        <f t="shared" si="12"/>
        <v>15529.15</v>
      </c>
      <c r="AC11" s="85"/>
      <c r="AD11" s="80">
        <f t="shared" si="13"/>
        <v>15529.15</v>
      </c>
      <c r="AE11" s="86">
        <v>6000</v>
      </c>
      <c r="AF11" s="87"/>
      <c r="AG11" s="88"/>
      <c r="AH11" s="88"/>
      <c r="AI11" s="88"/>
      <c r="AJ11" s="5"/>
    </row>
    <row r="12" spans="1:36" x14ac:dyDescent="0.3">
      <c r="A12" s="91" t="s">
        <v>156</v>
      </c>
      <c r="B12" s="76" t="s">
        <v>43</v>
      </c>
      <c r="C12" s="76" t="s">
        <v>145</v>
      </c>
      <c r="D12" s="31"/>
      <c r="E12" s="43">
        <f t="shared" si="7"/>
        <v>52269</v>
      </c>
      <c r="F12" s="29"/>
      <c r="G12" s="51">
        <f>85874-9289</f>
        <v>76585</v>
      </c>
      <c r="H12" s="59">
        <v>83484</v>
      </c>
      <c r="I12" s="51">
        <v>45607</v>
      </c>
      <c r="J12" s="59">
        <v>417334</v>
      </c>
      <c r="K12" s="49">
        <v>15221</v>
      </c>
      <c r="L12" s="29"/>
      <c r="M12" s="62">
        <f t="shared" si="8"/>
        <v>85006.1</v>
      </c>
      <c r="N12" s="58">
        <f t="shared" si="9"/>
        <v>87340.4</v>
      </c>
      <c r="O12" s="46">
        <f>SUM(M12*'Factors &amp; Percentages'!$E$6+N12*'Factors &amp; Percentages'!$E$7)</f>
        <v>11966.782447088804</v>
      </c>
      <c r="P12" s="65">
        <v>2</v>
      </c>
      <c r="Q12" s="46">
        <f>P12*'Factors &amp; Percentages'!$E$10</f>
        <v>21931.151582337487</v>
      </c>
      <c r="R12" s="69">
        <v>534</v>
      </c>
      <c r="S12" s="46">
        <f>R12*'Factors &amp; Percentages'!$E$13</f>
        <v>948.21339922479376</v>
      </c>
      <c r="T12" s="63">
        <v>35</v>
      </c>
      <c r="U12" s="64">
        <v>118</v>
      </c>
      <c r="V12" s="63">
        <v>22677</v>
      </c>
      <c r="W12" s="46">
        <f>T12*'Factors &amp; Percentages'!$E$16+U12*'Factors &amp; Percentages'!$E$17+V12*'Factors &amp; Percentages'!$E$18</f>
        <v>10057.058092060175</v>
      </c>
      <c r="X12" s="114"/>
      <c r="Y12" s="58">
        <f t="shared" si="10"/>
        <v>44903.205520711257</v>
      </c>
      <c r="Z12" s="71">
        <f t="shared" si="11"/>
        <v>44903.205520711257</v>
      </c>
      <c r="AA12" s="51">
        <f>IF($AE12&gt;$Z12,$AE12*(1+'Factors &amp; Percentages'!$B$3),IF($Y12&gt;$Z12,$Z12,IF($Y12&gt;$AE12,$Y12,$AE12*(1+'Factors &amp; Percentages'!$B$3))))</f>
        <v>52269</v>
      </c>
      <c r="AB12" s="59">
        <f t="shared" si="12"/>
        <v>52269</v>
      </c>
      <c r="AC12" s="42"/>
      <c r="AD12" s="43">
        <f t="shared" si="13"/>
        <v>52269</v>
      </c>
      <c r="AE12" s="75">
        <v>49780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155</v>
      </c>
      <c r="B13" s="78" t="s">
        <v>43</v>
      </c>
      <c r="C13" s="78" t="s">
        <v>145</v>
      </c>
      <c r="D13" s="79"/>
      <c r="E13" s="80">
        <f t="shared" si="7"/>
        <v>9092.6130496962251</v>
      </c>
      <c r="F13" s="80"/>
      <c r="G13" s="80">
        <v>15733</v>
      </c>
      <c r="H13" s="80">
        <v>19679</v>
      </c>
      <c r="I13" s="80">
        <v>3546</v>
      </c>
      <c r="J13" s="80">
        <v>0</v>
      </c>
      <c r="K13" s="80">
        <v>0</v>
      </c>
      <c r="L13" s="80"/>
      <c r="M13" s="81">
        <f t="shared" si="8"/>
        <v>19679</v>
      </c>
      <c r="N13" s="81">
        <f t="shared" si="9"/>
        <v>3546</v>
      </c>
      <c r="O13" s="81">
        <f>SUM(M13*'Factors &amp; Percentages'!$E$6+N13*'Factors &amp; Percentages'!$E$7)</f>
        <v>1794.0790707114681</v>
      </c>
      <c r="P13" s="82">
        <v>0.25</v>
      </c>
      <c r="Q13" s="81">
        <f>P13*'Factors &amp; Percentages'!$E$10</f>
        <v>2741.3939477921858</v>
      </c>
      <c r="R13" s="83">
        <v>904</v>
      </c>
      <c r="S13" s="81">
        <f>R13*'Factors &amp; Percentages'!$E$13</f>
        <v>1605.2151926951565</v>
      </c>
      <c r="T13" s="84">
        <v>16</v>
      </c>
      <c r="U13" s="84">
        <v>24</v>
      </c>
      <c r="V13" s="84">
        <v>3974</v>
      </c>
      <c r="W13" s="81">
        <f>T13*'Factors &amp; Percentages'!$E$16+U13*'Factors &amp; Percentages'!$E$17+V13*'Factors &amp; Percentages'!$E$18</f>
        <v>2951.9248384974144</v>
      </c>
      <c r="X13" s="113"/>
      <c r="Y13" s="81">
        <f t="shared" si="10"/>
        <v>9092.6130496962251</v>
      </c>
      <c r="Z13" s="85">
        <f t="shared" si="11"/>
        <v>9092.6130496962251</v>
      </c>
      <c r="AA13" s="80">
        <f>IF($AE13&gt;$Z13,$AE13*(1+'Factors &amp; Percentages'!$B$3),IF($Y13&gt;$Z13,$Z13,IF($Y13&gt;$AE13,$Y13,$AE13*(1+'Factors &amp; Percentages'!$B$3))))</f>
        <v>9092.6130496962251</v>
      </c>
      <c r="AB13" s="80">
        <f t="shared" si="12"/>
        <v>9092.6130496962251</v>
      </c>
      <c r="AC13" s="85"/>
      <c r="AD13" s="80">
        <f t="shared" si="13"/>
        <v>9092.6130496962251</v>
      </c>
      <c r="AE13" s="86">
        <v>4000</v>
      </c>
      <c r="AF13" s="87"/>
      <c r="AG13" s="88"/>
      <c r="AH13" s="88"/>
      <c r="AI13" s="88"/>
      <c r="AJ13" s="5"/>
    </row>
    <row r="14" spans="1:36" x14ac:dyDescent="0.3">
      <c r="A14" s="91" t="s">
        <v>157</v>
      </c>
      <c r="B14" s="76" t="s">
        <v>43</v>
      </c>
      <c r="C14" s="76" t="s">
        <v>145</v>
      </c>
      <c r="D14" s="31"/>
      <c r="E14" s="43">
        <f t="shared" ref="E14:E19" si="14">+AB14</f>
        <v>13011.049269970847</v>
      </c>
      <c r="F14" s="29"/>
      <c r="G14" s="51">
        <v>11197</v>
      </c>
      <c r="H14" s="59">
        <v>11197</v>
      </c>
      <c r="I14" s="51">
        <v>39041</v>
      </c>
      <c r="J14" s="59">
        <v>3477</v>
      </c>
      <c r="K14" s="49">
        <v>156</v>
      </c>
      <c r="L14" s="29"/>
      <c r="M14" s="62">
        <f t="shared" ref="M14:M18" si="15">H14+K14*0.1</f>
        <v>11212.6</v>
      </c>
      <c r="N14" s="58">
        <f t="shared" ref="N14:N18" si="16">I14+0.1*J14</f>
        <v>39388.699999999997</v>
      </c>
      <c r="O14" s="46">
        <f>SUM(M14*'Factors &amp; Percentages'!$E$6+N14*'Factors &amp; Percentages'!$E$7)</f>
        <v>3210.170379729946</v>
      </c>
      <c r="P14" s="65">
        <v>0.5</v>
      </c>
      <c r="Q14" s="46">
        <f>P14*'Factors &amp; Percentages'!$E$10</f>
        <v>5482.7878955843717</v>
      </c>
      <c r="R14" s="69">
        <v>220</v>
      </c>
      <c r="S14" s="46">
        <f>R14*'Factors &amp; Percentages'!$E$13</f>
        <v>390.64971503643187</v>
      </c>
      <c r="T14" s="63">
        <v>18</v>
      </c>
      <c r="U14" s="64">
        <v>29</v>
      </c>
      <c r="V14" s="63">
        <v>7762</v>
      </c>
      <c r="W14" s="46">
        <f>T14*'Factors &amp; Percentages'!$E$16+U14*'Factors &amp; Percentages'!$E$17+V14*'Factors &amp; Percentages'!$E$18</f>
        <v>3927.4412796200959</v>
      </c>
      <c r="X14" s="114"/>
      <c r="Y14" s="58">
        <f t="shared" ref="Y14:Y18" si="17">O14+Q14+S14+W14</f>
        <v>13011.049269970847</v>
      </c>
      <c r="Z14" s="71">
        <f t="shared" ref="Z14:Z18" si="18">IF($I14&gt;($H14+$G14)/2,$Y14,MIN(Y14,$H14*0.65))</f>
        <v>13011.049269970847</v>
      </c>
      <c r="AA14" s="51">
        <f>IF($AE14&gt;$Z14,$AE14*(1+'Factors &amp; Percentages'!$B$3),IF($Y14&gt;$Z14,$Z14,IF($Y14&gt;$AE14,$Y14,$AE14*(1+'Factors &amp; Percentages'!$B$3))))</f>
        <v>13011.049269970847</v>
      </c>
      <c r="AB14" s="59">
        <f t="shared" ref="AB14:AB18" si="19">MIN(AA14,+P14*2*88928)</f>
        <v>13011.049269970847</v>
      </c>
      <c r="AC14" s="42"/>
      <c r="AD14" s="43">
        <f t="shared" ref="AD14:AD18" si="20">AB14</f>
        <v>13011.049269970847</v>
      </c>
      <c r="AE14" s="75">
        <v>0</v>
      </c>
      <c r="AF14" s="32"/>
      <c r="AG14" s="33"/>
      <c r="AH14" s="33"/>
      <c r="AI14" s="33"/>
      <c r="AJ14" s="5"/>
    </row>
    <row r="15" spans="1:36" s="89" customFormat="1" x14ac:dyDescent="0.3">
      <c r="A15" s="90" t="s">
        <v>158</v>
      </c>
      <c r="B15" s="78" t="s">
        <v>43</v>
      </c>
      <c r="C15" s="78" t="s">
        <v>145</v>
      </c>
      <c r="D15" s="79"/>
      <c r="E15" s="80">
        <f t="shared" si="14"/>
        <v>19374.55</v>
      </c>
      <c r="F15" s="80"/>
      <c r="G15" s="80">
        <v>29262</v>
      </c>
      <c r="H15" s="80">
        <v>29807</v>
      </c>
      <c r="I15" s="80">
        <v>8279</v>
      </c>
      <c r="J15" s="80">
        <v>23892</v>
      </c>
      <c r="K15" s="80">
        <v>5680</v>
      </c>
      <c r="L15" s="80"/>
      <c r="M15" s="81">
        <f t="shared" si="15"/>
        <v>30375</v>
      </c>
      <c r="N15" s="81">
        <f t="shared" si="16"/>
        <v>10668.2</v>
      </c>
      <c r="O15" s="81">
        <f>SUM(M15*'Factors &amp; Percentages'!$E$6+N15*'Factors &amp; Percentages'!$E$7)</f>
        <v>3073.3677481013578</v>
      </c>
      <c r="P15" s="82">
        <v>1</v>
      </c>
      <c r="Q15" s="81">
        <f>P15*'Factors &amp; Percentages'!$E$10</f>
        <v>10965.575791168743</v>
      </c>
      <c r="R15" s="83">
        <v>474</v>
      </c>
      <c r="S15" s="81">
        <f>R15*'Factors &amp; Percentages'!$E$13</f>
        <v>841.6725678512214</v>
      </c>
      <c r="T15" s="84">
        <v>30</v>
      </c>
      <c r="U15" s="84">
        <v>55</v>
      </c>
      <c r="V15" s="84">
        <v>21309</v>
      </c>
      <c r="W15" s="81">
        <f>T15*'Factors &amp; Percentages'!$E$16+U15*'Factors &amp; Percentages'!$E$17+V15*'Factors &amp; Percentages'!$E$18</f>
        <v>8116.9557922305448</v>
      </c>
      <c r="X15" s="113"/>
      <c r="Y15" s="81">
        <f t="shared" si="17"/>
        <v>22997.571899351868</v>
      </c>
      <c r="Z15" s="85">
        <f t="shared" si="18"/>
        <v>19374.55</v>
      </c>
      <c r="AA15" s="80">
        <f>IF($AE15&gt;$Z15,$AE15*(1+'Factors &amp; Percentages'!$B$3),IF($Y15&gt;$Z15,$Z15,IF($Y15&gt;$AE15,$Y15,$AE15*(1+'Factors &amp; Percentages'!$B$3))))</f>
        <v>19374.55</v>
      </c>
      <c r="AB15" s="80">
        <f t="shared" si="19"/>
        <v>19374.55</v>
      </c>
      <c r="AC15" s="85"/>
      <c r="AD15" s="80">
        <f t="shared" si="20"/>
        <v>19374.55</v>
      </c>
      <c r="AE15" s="86">
        <v>16000</v>
      </c>
      <c r="AF15" s="87"/>
      <c r="AG15" s="88"/>
      <c r="AH15" s="88"/>
      <c r="AI15" s="88"/>
      <c r="AJ15" s="5"/>
    </row>
    <row r="16" spans="1:36" x14ac:dyDescent="0.3">
      <c r="A16" s="91" t="s">
        <v>159</v>
      </c>
      <c r="B16" s="76" t="s">
        <v>43</v>
      </c>
      <c r="C16" s="76" t="s">
        <v>145</v>
      </c>
      <c r="D16" s="31"/>
      <c r="E16" s="43">
        <f t="shared" si="14"/>
        <v>16761.336289979023</v>
      </c>
      <c r="F16" s="29"/>
      <c r="G16" s="51">
        <f>23545-1526</f>
        <v>22019</v>
      </c>
      <c r="H16" s="59">
        <v>26799</v>
      </c>
      <c r="I16" s="51">
        <v>47082</v>
      </c>
      <c r="J16" s="59">
        <v>15085</v>
      </c>
      <c r="K16" s="49">
        <v>0</v>
      </c>
      <c r="L16" s="29"/>
      <c r="M16" s="62">
        <f t="shared" si="15"/>
        <v>26799</v>
      </c>
      <c r="N16" s="58">
        <f t="shared" si="16"/>
        <v>48590.5</v>
      </c>
      <c r="O16" s="46">
        <f>SUM(M16*'Factors &amp; Percentages'!$E$6+N16*'Factors &amp; Percentages'!$E$7)</f>
        <v>5005.4698927695854</v>
      </c>
      <c r="P16" s="65">
        <v>0.5</v>
      </c>
      <c r="Q16" s="46">
        <f>P16*'Factors &amp; Percentages'!$E$10</f>
        <v>5482.7878955843717</v>
      </c>
      <c r="R16" s="69">
        <v>648</v>
      </c>
      <c r="S16" s="46">
        <f>R16*'Factors &amp; Percentages'!$E$13</f>
        <v>1150.6409788345811</v>
      </c>
      <c r="T16" s="63">
        <v>30</v>
      </c>
      <c r="U16" s="64">
        <v>42</v>
      </c>
      <c r="V16" s="63">
        <v>5383</v>
      </c>
      <c r="W16" s="46">
        <f>T16*'Factors &amp; Percentages'!$E$16+U16*'Factors &amp; Percentages'!$E$17+V16*'Factors &amp; Percentages'!$E$18</f>
        <v>5122.4375227904848</v>
      </c>
      <c r="X16" s="114"/>
      <c r="Y16" s="58">
        <f t="shared" si="17"/>
        <v>16761.336289979023</v>
      </c>
      <c r="Z16" s="71">
        <f t="shared" si="18"/>
        <v>16761.336289979023</v>
      </c>
      <c r="AA16" s="51">
        <f>IF($AE16&gt;$Z16,$AE16*(1+'Factors &amp; Percentages'!$B$3),IF($Y16&gt;$Z16,$Z16,IF($Y16&gt;$AE16,$Y16,$AE16*(1+'Factors &amp; Percentages'!$B$3))))</f>
        <v>16761.336289979023</v>
      </c>
      <c r="AB16" s="59">
        <f t="shared" si="19"/>
        <v>16761.336289979023</v>
      </c>
      <c r="AC16" s="42"/>
      <c r="AD16" s="43">
        <f t="shared" si="20"/>
        <v>16761.336289979023</v>
      </c>
      <c r="AE16" s="75">
        <v>10200</v>
      </c>
      <c r="AF16" s="32"/>
      <c r="AG16" s="33"/>
      <c r="AH16" s="33"/>
      <c r="AI16" s="33"/>
      <c r="AJ16" s="5"/>
    </row>
    <row r="17" spans="1:36" s="89" customFormat="1" x14ac:dyDescent="0.3">
      <c r="A17" s="90" t="s">
        <v>160</v>
      </c>
      <c r="B17" s="78" t="s">
        <v>43</v>
      </c>
      <c r="C17" s="78" t="s">
        <v>145</v>
      </c>
      <c r="D17" s="79"/>
      <c r="E17" s="80">
        <f t="shared" si="14"/>
        <v>12027.75</v>
      </c>
      <c r="F17" s="80"/>
      <c r="G17" s="80">
        <v>17623</v>
      </c>
      <c r="H17" s="80">
        <v>20259</v>
      </c>
      <c r="I17" s="80">
        <v>8567</v>
      </c>
      <c r="J17" s="80">
        <v>24545</v>
      </c>
      <c r="K17" s="80">
        <v>3997</v>
      </c>
      <c r="L17" s="80"/>
      <c r="M17" s="81">
        <f t="shared" si="15"/>
        <v>20658.7</v>
      </c>
      <c r="N17" s="81">
        <f t="shared" si="16"/>
        <v>11021.5</v>
      </c>
      <c r="O17" s="81">
        <f>SUM(M17*'Factors &amp; Percentages'!$E$6+N17*'Factors &amp; Percentages'!$E$7)</f>
        <v>2310.7571393674243</v>
      </c>
      <c r="P17" s="82">
        <v>0.25</v>
      </c>
      <c r="Q17" s="81">
        <f>P17*'Factors &amp; Percentages'!$E$10</f>
        <v>2741.3939477921858</v>
      </c>
      <c r="R17" s="83">
        <v>341</v>
      </c>
      <c r="S17" s="81">
        <f>R17*'Factors &amp; Percentages'!$E$13</f>
        <v>605.50705830646939</v>
      </c>
      <c r="T17" s="84">
        <v>18</v>
      </c>
      <c r="U17" s="84">
        <v>21</v>
      </c>
      <c r="V17" s="84">
        <v>1752</v>
      </c>
      <c r="W17" s="81">
        <f>T17*'Factors &amp; Percentages'!$E$16+U17*'Factors &amp; Percentages'!$E$17+V17*'Factors &amp; Percentages'!$E$18</f>
        <v>2741.8843119288335</v>
      </c>
      <c r="X17" s="113"/>
      <c r="Y17" s="81">
        <f t="shared" si="17"/>
        <v>8399.5424573949131</v>
      </c>
      <c r="Z17" s="85">
        <f t="shared" si="18"/>
        <v>8399.5424573949131</v>
      </c>
      <c r="AA17" s="80">
        <f>IF($AE17&gt;$Z17,$AE17*(1+'Factors &amp; Percentages'!$B$3),IF($Y17&gt;$Z17,$Z17,IF($Y17&gt;$AE17,$Y17,$AE17*(1+'Factors &amp; Percentages'!$B$3))))</f>
        <v>12027.75</v>
      </c>
      <c r="AB17" s="80">
        <f t="shared" si="19"/>
        <v>12027.75</v>
      </c>
      <c r="AC17" s="85"/>
      <c r="AD17" s="80">
        <f t="shared" si="20"/>
        <v>12027.75</v>
      </c>
      <c r="AE17" s="86">
        <v>11455</v>
      </c>
      <c r="AF17" s="87"/>
      <c r="AG17" s="88"/>
      <c r="AH17" s="88"/>
      <c r="AI17" s="88"/>
      <c r="AJ17" s="5"/>
    </row>
    <row r="18" spans="1:36" x14ac:dyDescent="0.3">
      <c r="A18" s="91" t="s">
        <v>161</v>
      </c>
      <c r="B18" s="76" t="s">
        <v>43</v>
      </c>
      <c r="C18" s="76" t="s">
        <v>145</v>
      </c>
      <c r="D18" s="31"/>
      <c r="E18" s="43">
        <f t="shared" si="14"/>
        <v>40320</v>
      </c>
      <c r="F18" s="29"/>
      <c r="G18" s="51">
        <v>58967</v>
      </c>
      <c r="H18" s="59">
        <v>72037</v>
      </c>
      <c r="I18" s="51">
        <v>42701</v>
      </c>
      <c r="J18" s="59">
        <v>7350</v>
      </c>
      <c r="K18" s="49">
        <v>2086</v>
      </c>
      <c r="L18" s="29"/>
      <c r="M18" s="62">
        <f t="shared" si="15"/>
        <v>72245.600000000006</v>
      </c>
      <c r="N18" s="58">
        <f t="shared" si="16"/>
        <v>43436</v>
      </c>
      <c r="O18" s="46">
        <f>SUM(M18*'Factors &amp; Percentages'!$E$6+N18*'Factors &amp; Percentages'!$E$7)</f>
        <v>8367.4267332391973</v>
      </c>
      <c r="P18" s="65">
        <v>0.75</v>
      </c>
      <c r="Q18" s="46">
        <f>P18*'Factors &amp; Percentages'!$E$10</f>
        <v>8224.1818433765584</v>
      </c>
      <c r="R18" s="69">
        <v>2589</v>
      </c>
      <c r="S18" s="46">
        <f>R18*'Factors &amp; Percentages'!$E$13</f>
        <v>4597.2368737696461</v>
      </c>
      <c r="T18" s="63">
        <v>50</v>
      </c>
      <c r="U18" s="64">
        <v>97</v>
      </c>
      <c r="V18" s="63">
        <v>12469</v>
      </c>
      <c r="W18" s="46">
        <f>T18*'Factors &amp; Percentages'!$E$16+U18*'Factors &amp; Percentages'!$E$17+V18*'Factors &amp; Percentages'!$E$18</f>
        <v>9628.1924419028801</v>
      </c>
      <c r="X18" s="114"/>
      <c r="Y18" s="58">
        <f t="shared" si="17"/>
        <v>30817.037892288281</v>
      </c>
      <c r="Z18" s="71">
        <f t="shared" si="18"/>
        <v>30817.037892288281</v>
      </c>
      <c r="AA18" s="51">
        <f>IF($AE18&gt;$Z18,$AE18*(1+'Factors &amp; Percentages'!$B$3),IF($Y18&gt;$Z18,$Z18,IF($Y18&gt;$AE18,$Y18,$AE18*(1+'Factors &amp; Percentages'!$B$3))))</f>
        <v>40320</v>
      </c>
      <c r="AB18" s="59">
        <f t="shared" si="19"/>
        <v>40320</v>
      </c>
      <c r="AC18" s="42"/>
      <c r="AD18" s="43">
        <f t="shared" si="20"/>
        <v>40320</v>
      </c>
      <c r="AE18" s="75">
        <v>38400</v>
      </c>
      <c r="AF18" s="32"/>
      <c r="AG18" s="33"/>
      <c r="AH18" s="33"/>
      <c r="AI18" s="33"/>
      <c r="AJ18" s="5"/>
    </row>
    <row r="19" spans="1:36" s="89" customFormat="1" x14ac:dyDescent="0.3">
      <c r="A19" s="90" t="s">
        <v>162</v>
      </c>
      <c r="B19" s="78" t="s">
        <v>43</v>
      </c>
      <c r="C19" s="78" t="s">
        <v>145</v>
      </c>
      <c r="D19" s="79"/>
      <c r="E19" s="80">
        <f t="shared" si="14"/>
        <v>31618.298439560669</v>
      </c>
      <c r="F19" s="80"/>
      <c r="G19" s="80">
        <v>49021</v>
      </c>
      <c r="H19" s="80">
        <v>63033</v>
      </c>
      <c r="I19" s="80">
        <v>65984</v>
      </c>
      <c r="J19" s="80">
        <v>0</v>
      </c>
      <c r="K19" s="80">
        <v>0</v>
      </c>
      <c r="L19" s="80"/>
      <c r="M19" s="81">
        <f t="shared" ref="M19" si="21">H19+K19*0.1</f>
        <v>63033</v>
      </c>
      <c r="N19" s="81">
        <f t="shared" ref="N19" si="22">I19+0.1*J19</f>
        <v>65984</v>
      </c>
      <c r="O19" s="81">
        <f>SUM(M19*'Factors &amp; Percentages'!$E$6+N19*'Factors &amp; Percentages'!$E$7)</f>
        <v>8944.9441459164154</v>
      </c>
      <c r="P19" s="82">
        <v>0.5</v>
      </c>
      <c r="Q19" s="81">
        <f>P19*'Factors &amp; Percentages'!$E$10</f>
        <v>5482.7878955843717</v>
      </c>
      <c r="R19" s="83">
        <v>5714</v>
      </c>
      <c r="S19" s="81">
        <f>R19*'Factors &amp; Percentages'!$E$13</f>
        <v>10146.238507809872</v>
      </c>
      <c r="T19" s="84">
        <v>35</v>
      </c>
      <c r="U19" s="84">
        <v>107</v>
      </c>
      <c r="V19" s="84">
        <v>6439</v>
      </c>
      <c r="W19" s="81">
        <f>T19*'Factors &amp; Percentages'!$E$16+U19*'Factors &amp; Percentages'!$E$17+V19*'Factors &amp; Percentages'!$E$18</f>
        <v>7044.3278902500087</v>
      </c>
      <c r="X19" s="113"/>
      <c r="Y19" s="81">
        <f t="shared" ref="Y19" si="23">O19+Q19+S19+W19</f>
        <v>31618.298439560669</v>
      </c>
      <c r="Z19" s="85">
        <f t="shared" ref="Z19" si="24">IF($I19&gt;($H19+$G19)/2,$Y19,MIN(Y19,$H19*0.65))</f>
        <v>31618.298439560669</v>
      </c>
      <c r="AA19" s="80">
        <f>IF($AE19&gt;$Z19,$AE19*(1+'Factors &amp; Percentages'!$B$3),IF($Y19&gt;$Z19,$Z19,IF($Y19&gt;$AE19,$Y19,$AE19*(1+'Factors &amp; Percentages'!$B$3))))</f>
        <v>31618.298439560669</v>
      </c>
      <c r="AB19" s="80">
        <f t="shared" ref="AB19" si="25">MIN(AA19,+P19*2*88928)</f>
        <v>31618.298439560669</v>
      </c>
      <c r="AC19" s="85"/>
      <c r="AD19" s="80">
        <f t="shared" ref="AD19" si="26">AB19</f>
        <v>31618.298439560669</v>
      </c>
      <c r="AE19" s="86">
        <v>27000</v>
      </c>
      <c r="AF19" s="87"/>
      <c r="AG19" s="88"/>
      <c r="AH19" s="88"/>
      <c r="AI19" s="88"/>
      <c r="AJ19" s="5"/>
    </row>
    <row r="20" spans="1:36" s="89" customFormat="1" x14ac:dyDescent="0.3">
      <c r="A20" s="90"/>
      <c r="B20" s="78"/>
      <c r="C20" s="78"/>
      <c r="D20" s="79"/>
      <c r="E20" s="80"/>
      <c r="F20" s="80"/>
      <c r="G20" s="80"/>
      <c r="H20" s="80"/>
      <c r="I20" s="80"/>
      <c r="J20" s="80"/>
      <c r="K20" s="80"/>
      <c r="L20" s="80"/>
      <c r="M20" s="81"/>
      <c r="N20" s="81"/>
      <c r="O20" s="81"/>
      <c r="P20" s="82"/>
      <c r="Q20" s="81"/>
      <c r="R20" s="83"/>
      <c r="S20" s="81"/>
      <c r="T20" s="84"/>
      <c r="U20" s="84"/>
      <c r="V20" s="84"/>
      <c r="W20" s="81"/>
      <c r="X20" s="113"/>
      <c r="Y20" s="81"/>
      <c r="Z20" s="85"/>
      <c r="AA20" s="80"/>
      <c r="AB20" s="80"/>
      <c r="AC20" s="85"/>
      <c r="AD20" s="80"/>
      <c r="AE20" s="86"/>
      <c r="AF20" s="87"/>
      <c r="AG20" s="88"/>
      <c r="AH20" s="88"/>
      <c r="AI20" s="88"/>
      <c r="AJ20" s="5"/>
    </row>
    <row r="21" spans="1:36" ht="15" thickBot="1" x14ac:dyDescent="0.35">
      <c r="E21" s="44">
        <f>SUM(E3:E19)</f>
        <v>422389.80795732117</v>
      </c>
      <c r="F21" s="41"/>
      <c r="G21" s="52">
        <f>SUM(G3:G20)</f>
        <v>619112</v>
      </c>
      <c r="H21" s="60">
        <f>SUM(H3:H20)</f>
        <v>703879</v>
      </c>
      <c r="I21" s="52">
        <f>SUM(I3:I20)</f>
        <v>556628</v>
      </c>
      <c r="J21" s="60">
        <f>SUM(J3:J20)</f>
        <v>565059</v>
      </c>
      <c r="K21" s="50">
        <f>SUM(K3:K20)</f>
        <v>46197</v>
      </c>
      <c r="L21" s="41"/>
      <c r="M21" s="60">
        <f t="shared" ref="M21:W21" si="27">SUM(M3:M20)</f>
        <v>708498.7</v>
      </c>
      <c r="N21" s="52">
        <f t="shared" si="27"/>
        <v>613133.9</v>
      </c>
      <c r="O21" s="47">
        <f t="shared" si="27"/>
        <v>93016.461375321349</v>
      </c>
      <c r="P21" s="67">
        <f t="shared" si="27"/>
        <v>10.49</v>
      </c>
      <c r="Q21" s="47">
        <f t="shared" si="27"/>
        <v>115028.89004936012</v>
      </c>
      <c r="R21" s="67">
        <f t="shared" si="27"/>
        <v>50724</v>
      </c>
      <c r="S21" s="47">
        <f t="shared" si="27"/>
        <v>90069.61884321805</v>
      </c>
      <c r="T21" s="67">
        <f t="shared" si="27"/>
        <v>469</v>
      </c>
      <c r="U21" s="68">
        <f t="shared" si="27"/>
        <v>1059</v>
      </c>
      <c r="V21" s="67">
        <f t="shared" si="27"/>
        <v>151362</v>
      </c>
      <c r="W21" s="47">
        <f t="shared" si="27"/>
        <v>98953.067211683519</v>
      </c>
      <c r="X21" s="115"/>
      <c r="Y21" s="52">
        <f>SUM(Y3:Y20)</f>
        <v>397068.03747958306</v>
      </c>
      <c r="Z21" s="60">
        <f>SUM(Z3:Z20)</f>
        <v>379890.70463956299</v>
      </c>
      <c r="AA21" s="56">
        <f>SUM(AA3:AA19)</f>
        <v>422389.80795732117</v>
      </c>
      <c r="AB21" s="74">
        <f>SUM(AB3:AB19)</f>
        <v>422389.80795732117</v>
      </c>
      <c r="AC21" s="29"/>
      <c r="AD21" s="44">
        <f>SUM(AD3:AD19)</f>
        <v>422389.80795732117</v>
      </c>
      <c r="AE21" s="56">
        <f>SUM(AE3:AE19)</f>
        <v>323131</v>
      </c>
      <c r="AF21" s="36"/>
      <c r="AG21" s="37"/>
      <c r="AH21" s="37"/>
      <c r="AI21" s="37"/>
      <c r="AJ21" s="6"/>
    </row>
    <row r="22" spans="1:36" ht="15" hidden="1" thickTop="1" x14ac:dyDescent="0.3"/>
  </sheetData>
  <sheetProtection algorithmName="SHA-512" hashValue="r0zLnb+KWfLjuzUrjv0/A4kv1J+CVf/3deUSarItPzlx8orxRpPZzf+/3fyB+TmZkpsznKheuVeyY5U1YweE+Q==" saltValue="SCvCmylH1em6X2CUkm0J8w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14F3-978C-43D1-B885-0E60554D2089}">
  <dimension ref="A1:AV17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133</v>
      </c>
      <c r="B3" s="78" t="s">
        <v>8</v>
      </c>
      <c r="C3" s="78" t="s">
        <v>132</v>
      </c>
      <c r="D3" s="79"/>
      <c r="E3" s="80">
        <f t="shared" ref="E3:E11" si="0">+AB3</f>
        <v>23462.25</v>
      </c>
      <c r="F3" s="80"/>
      <c r="G3" s="80">
        <v>18821</v>
      </c>
      <c r="H3" s="80">
        <v>21685</v>
      </c>
      <c r="I3" s="80">
        <v>7645</v>
      </c>
      <c r="J3" s="80">
        <v>110490</v>
      </c>
      <c r="K3" s="80">
        <v>10660</v>
      </c>
      <c r="L3" s="80"/>
      <c r="M3" s="81">
        <f t="shared" ref="M3:M11" si="1">H3+K3*0.1</f>
        <v>22751</v>
      </c>
      <c r="N3" s="81">
        <f t="shared" ref="N3:N11" si="2">I3+0.1*J3</f>
        <v>18694</v>
      </c>
      <c r="O3" s="81">
        <f>SUM(M3*'Factors &amp; Percentages'!$E$6+N3*'Factors &amp; Percentages'!$E$7)</f>
        <v>2928.6639625454677</v>
      </c>
      <c r="P3" s="82">
        <v>0.375</v>
      </c>
      <c r="Q3" s="81">
        <f>P3*'Factors &amp; Percentages'!$E$10</f>
        <v>4112.0909216882792</v>
      </c>
      <c r="R3" s="83">
        <v>8752</v>
      </c>
      <c r="S3" s="81">
        <f>R3*'Factors &amp; Percentages'!$E$13</f>
        <v>15540.755936358419</v>
      </c>
      <c r="T3" s="84">
        <v>19</v>
      </c>
      <c r="U3" s="84">
        <v>44</v>
      </c>
      <c r="V3" s="84">
        <v>1000</v>
      </c>
      <c r="W3" s="81">
        <f>T3*'Factors &amp; Percentages'!$E$16+U3*'Factors &amp; Percentages'!$E$17+V3*'Factors &amp; Percentages'!$E$18</f>
        <v>3138.6769483252492</v>
      </c>
      <c r="X3" s="113"/>
      <c r="Y3" s="81">
        <f t="shared" ref="Y3:Y11" si="3">O3+Q3+S3+W3</f>
        <v>25720.187768917414</v>
      </c>
      <c r="Z3" s="85">
        <f t="shared" ref="Z3:Z11" si="4">IF($I3&gt;($H3+$G3)/2,$Y3,MIN(Y3,$H3*0.65))</f>
        <v>14095.25</v>
      </c>
      <c r="AA3" s="80">
        <f>IF($AE3&gt;$Z3,$AE3*(1+'Factors &amp; Percentages'!$B$3),IF($Y3&gt;$Z3,$Z3,IF($Y3&gt;$AE3,$Y3,$AE3*(1+'Factors &amp; Percentages'!$B$3))))</f>
        <v>23462.25</v>
      </c>
      <c r="AB3" s="80">
        <f t="shared" ref="AB3:AB11" si="5">MIN(AA3,+P3*2*88928)</f>
        <v>23462.25</v>
      </c>
      <c r="AC3" s="85"/>
      <c r="AD3" s="80">
        <f t="shared" ref="AD3:AD11" si="6">AB3</f>
        <v>23462.25</v>
      </c>
      <c r="AE3" s="86">
        <v>22345</v>
      </c>
      <c r="AF3" s="87"/>
      <c r="AG3" s="88"/>
      <c r="AH3" s="88"/>
      <c r="AI3" s="88"/>
      <c r="AJ3" s="5"/>
    </row>
    <row r="4" spans="1:36" x14ac:dyDescent="0.3">
      <c r="A4" s="91" t="s">
        <v>134</v>
      </c>
      <c r="B4" s="76" t="s">
        <v>8</v>
      </c>
      <c r="C4" s="76" t="s">
        <v>132</v>
      </c>
      <c r="D4" s="31"/>
      <c r="E4" s="43">
        <f t="shared" si="0"/>
        <v>21693.576384104443</v>
      </c>
      <c r="F4" s="29"/>
      <c r="G4" s="51">
        <v>17961</v>
      </c>
      <c r="H4" s="59">
        <v>20824</v>
      </c>
      <c r="I4" s="51">
        <v>51723</v>
      </c>
      <c r="J4" s="59">
        <v>34557</v>
      </c>
      <c r="K4" s="49">
        <v>4647</v>
      </c>
      <c r="L4" s="29"/>
      <c r="M4" s="62">
        <f t="shared" si="1"/>
        <v>21288.7</v>
      </c>
      <c r="N4" s="58">
        <f t="shared" si="2"/>
        <v>55178.7</v>
      </c>
      <c r="O4" s="46">
        <f>SUM(M4*'Factors &amp; Percentages'!$E$6+N4*'Factors &amp; Percentages'!$E$7)</f>
        <v>4946.9928785419952</v>
      </c>
      <c r="P4" s="65">
        <v>0.5</v>
      </c>
      <c r="Q4" s="46">
        <f>P4*'Factors &amp; Percentages'!$E$10</f>
        <v>5482.7878955843717</v>
      </c>
      <c r="R4" s="69">
        <v>4073</v>
      </c>
      <c r="S4" s="46">
        <f>R4*'Factors &amp; Percentages'!$E$13</f>
        <v>7232.3467697426686</v>
      </c>
      <c r="T4" s="63">
        <v>28</v>
      </c>
      <c r="U4" s="64">
        <v>37</v>
      </c>
      <c r="V4" s="63">
        <v>929</v>
      </c>
      <c r="W4" s="46">
        <f>T4*'Factors &amp; Percentages'!$E$16+U4*'Factors &amp; Percentages'!$E$17+V4*'Factors &amp; Percentages'!$E$18</f>
        <v>4031.4488402354059</v>
      </c>
      <c r="X4" s="114"/>
      <c r="Y4" s="58">
        <f t="shared" si="3"/>
        <v>21693.576384104443</v>
      </c>
      <c r="Z4" s="71">
        <f t="shared" si="4"/>
        <v>21693.576384104443</v>
      </c>
      <c r="AA4" s="51">
        <f>IF($AE4&gt;$Z4,$AE4*(1+'Factors &amp; Percentages'!$B$3),IF($Y4&gt;$Z4,$Z4,IF($Y4&gt;$AE4,$Y4,$AE4*(1+'Factors &amp; Percentages'!$B$3))))</f>
        <v>21693.576384104443</v>
      </c>
      <c r="AB4" s="59">
        <f t="shared" si="5"/>
        <v>21693.576384104443</v>
      </c>
      <c r="AC4" s="42"/>
      <c r="AD4" s="43">
        <f t="shared" si="6"/>
        <v>21693.576384104443</v>
      </c>
      <c r="AE4" s="75">
        <v>12800</v>
      </c>
      <c r="AF4" s="32"/>
      <c r="AG4" s="33"/>
      <c r="AH4" s="33"/>
      <c r="AI4" s="33"/>
      <c r="AJ4" s="5"/>
    </row>
    <row r="5" spans="1:36" s="89" customFormat="1" x14ac:dyDescent="0.3">
      <c r="A5" s="90" t="s">
        <v>135</v>
      </c>
      <c r="B5" s="78" t="s">
        <v>8</v>
      </c>
      <c r="C5" s="78" t="s">
        <v>132</v>
      </c>
      <c r="D5" s="79"/>
      <c r="E5" s="80">
        <f t="shared" si="0"/>
        <v>23789.350000000002</v>
      </c>
      <c r="F5" s="80"/>
      <c r="G5" s="80">
        <v>33614</v>
      </c>
      <c r="H5" s="80">
        <v>36599</v>
      </c>
      <c r="I5" s="80">
        <v>12037</v>
      </c>
      <c r="J5" s="80">
        <v>45107</v>
      </c>
      <c r="K5" s="80">
        <v>14606</v>
      </c>
      <c r="L5" s="80"/>
      <c r="M5" s="81">
        <f t="shared" si="1"/>
        <v>38059.599999999999</v>
      </c>
      <c r="N5" s="81">
        <f t="shared" si="2"/>
        <v>16547.7</v>
      </c>
      <c r="O5" s="81">
        <f>SUM(M5*'Factors &amp; Percentages'!$E$6+N5*'Factors &amp; Percentages'!$E$7)</f>
        <v>4037.1258024949971</v>
      </c>
      <c r="P5" s="82">
        <v>0.375</v>
      </c>
      <c r="Q5" s="81">
        <f>P5*'Factors &amp; Percentages'!$E$10</f>
        <v>4112.0909216882792</v>
      </c>
      <c r="R5" s="83">
        <v>7979</v>
      </c>
      <c r="S5" s="81">
        <f>R5*'Factors &amp; Percentages'!$E$13</f>
        <v>14168.154892162227</v>
      </c>
      <c r="T5" s="84">
        <v>45</v>
      </c>
      <c r="U5" s="84">
        <v>83</v>
      </c>
      <c r="V5" s="84">
        <v>6565</v>
      </c>
      <c r="W5" s="81">
        <f>T5*'Factors &amp; Percentages'!$E$16+U5*'Factors &amp; Percentages'!$E$17+V5*'Factors &amp; Percentages'!$E$18</f>
        <v>7780.7682590235281</v>
      </c>
      <c r="X5" s="113"/>
      <c r="Y5" s="81">
        <f t="shared" si="3"/>
        <v>30098.13987536903</v>
      </c>
      <c r="Z5" s="85">
        <f t="shared" si="4"/>
        <v>23789.350000000002</v>
      </c>
      <c r="AA5" s="80">
        <f>IF($AE5&gt;$Z5,$AE5*(1+'Factors &amp; Percentages'!$B$3),IF($Y5&gt;$Z5,$Z5,IF($Y5&gt;$AE5,$Y5,$AE5*(1+'Factors &amp; Percentages'!$B$3))))</f>
        <v>23789.350000000002</v>
      </c>
      <c r="AB5" s="80">
        <f t="shared" si="5"/>
        <v>23789.350000000002</v>
      </c>
      <c r="AC5" s="85"/>
      <c r="AD5" s="80">
        <f t="shared" si="6"/>
        <v>23789.350000000002</v>
      </c>
      <c r="AE5" s="86">
        <v>21849</v>
      </c>
      <c r="AF5" s="87"/>
      <c r="AG5" s="88"/>
      <c r="AH5" s="88"/>
      <c r="AI5" s="88"/>
      <c r="AJ5" s="5"/>
    </row>
    <row r="6" spans="1:36" x14ac:dyDescent="0.3">
      <c r="A6" s="91" t="s">
        <v>136</v>
      </c>
      <c r="B6" s="76" t="s">
        <v>8</v>
      </c>
      <c r="C6" s="76" t="s">
        <v>132</v>
      </c>
      <c r="D6" s="31"/>
      <c r="E6" s="43">
        <f t="shared" si="0"/>
        <v>20056.406224741339</v>
      </c>
      <c r="F6" s="29"/>
      <c r="G6" s="51">
        <f>63944-50983</f>
        <v>12961</v>
      </c>
      <c r="H6" s="59">
        <v>14793</v>
      </c>
      <c r="I6" s="51">
        <v>27007</v>
      </c>
      <c r="J6" s="59">
        <v>2741</v>
      </c>
      <c r="K6" s="49">
        <v>0</v>
      </c>
      <c r="L6" s="29"/>
      <c r="M6" s="62">
        <f t="shared" si="1"/>
        <v>14793</v>
      </c>
      <c r="N6" s="58">
        <f t="shared" si="2"/>
        <v>27281.1</v>
      </c>
      <c r="O6" s="46">
        <f>SUM(M6*'Factors &amp; Percentages'!$E$6+N6*'Factors &amp; Percentages'!$E$7)</f>
        <v>2789.8988407379193</v>
      </c>
      <c r="P6" s="65">
        <v>1</v>
      </c>
      <c r="Q6" s="46">
        <f>P6*'Factors &amp; Percentages'!$E$10</f>
        <v>10965.575791168743</v>
      </c>
      <c r="R6" s="69">
        <v>1032</v>
      </c>
      <c r="S6" s="46">
        <f>R6*'Factors &amp; Percentages'!$E$13</f>
        <v>1832.5022996254443</v>
      </c>
      <c r="T6" s="63">
        <v>15</v>
      </c>
      <c r="U6" s="64">
        <v>43</v>
      </c>
      <c r="V6" s="63">
        <v>11415</v>
      </c>
      <c r="W6" s="46">
        <f>T6*'Factors &amp; Percentages'!$E$16+U6*'Factors &amp; Percentages'!$E$17+V6*'Factors &amp; Percentages'!$E$18</f>
        <v>4468.4292932092321</v>
      </c>
      <c r="X6" s="114"/>
      <c r="Y6" s="58">
        <f t="shared" si="3"/>
        <v>20056.406224741339</v>
      </c>
      <c r="Z6" s="71">
        <f t="shared" si="4"/>
        <v>20056.406224741339</v>
      </c>
      <c r="AA6" s="51">
        <f>IF($AE6&gt;$Z6,$AE6*(1+'Factors &amp; Percentages'!$B$3),IF($Y6&gt;$Z6,$Z6,IF($Y6&gt;$AE6,$Y6,$AE6*(1+'Factors &amp; Percentages'!$B$3))))</f>
        <v>20056.406224741339</v>
      </c>
      <c r="AB6" s="59">
        <f t="shared" si="5"/>
        <v>20056.406224741339</v>
      </c>
      <c r="AC6" s="42"/>
      <c r="AD6" s="43">
        <f t="shared" si="6"/>
        <v>20056.406224741339</v>
      </c>
      <c r="AE6" s="75">
        <v>14206</v>
      </c>
      <c r="AF6" s="32"/>
      <c r="AG6" s="33"/>
      <c r="AH6" s="33"/>
      <c r="AI6" s="33"/>
      <c r="AJ6" s="5"/>
    </row>
    <row r="7" spans="1:36" s="89" customFormat="1" x14ac:dyDescent="0.3">
      <c r="A7" s="90" t="s">
        <v>137</v>
      </c>
      <c r="B7" s="78" t="s">
        <v>8</v>
      </c>
      <c r="C7" s="78" t="s">
        <v>132</v>
      </c>
      <c r="D7" s="79"/>
      <c r="E7" s="80">
        <f t="shared" si="0"/>
        <v>23639.183014934006</v>
      </c>
      <c r="F7" s="80"/>
      <c r="G7" s="80">
        <v>48326</v>
      </c>
      <c r="H7" s="80">
        <v>44861</v>
      </c>
      <c r="I7" s="80">
        <v>59044</v>
      </c>
      <c r="J7" s="80">
        <v>95231</v>
      </c>
      <c r="K7" s="80">
        <v>3426</v>
      </c>
      <c r="L7" s="80"/>
      <c r="M7" s="81">
        <f t="shared" si="1"/>
        <v>45203.6</v>
      </c>
      <c r="N7" s="81">
        <f t="shared" si="2"/>
        <v>68567.100000000006</v>
      </c>
      <c r="O7" s="81">
        <f>SUM(M7*'Factors &amp; Percentages'!$E$6+N7*'Factors &amp; Percentages'!$E$7)</f>
        <v>7658.8386325819065</v>
      </c>
      <c r="P7" s="82">
        <v>0.66</v>
      </c>
      <c r="Q7" s="81">
        <f>P7*'Factors &amp; Percentages'!$E$10</f>
        <v>7237.2800221713705</v>
      </c>
      <c r="R7" s="83">
        <v>564</v>
      </c>
      <c r="S7" s="81">
        <f>R7*'Factors &amp; Percentages'!$E$13</f>
        <v>1001.48381491158</v>
      </c>
      <c r="T7" s="84">
        <v>41</v>
      </c>
      <c r="U7" s="84">
        <v>58</v>
      </c>
      <c r="V7" s="84">
        <v>11568</v>
      </c>
      <c r="W7" s="81">
        <f>T7*'Factors &amp; Percentages'!$E$16+U7*'Factors &amp; Percentages'!$E$17+V7*'Factors &amp; Percentages'!$E$18</f>
        <v>7741.5805452691466</v>
      </c>
      <c r="X7" s="113"/>
      <c r="Y7" s="81">
        <f t="shared" si="3"/>
        <v>23639.183014934006</v>
      </c>
      <c r="Z7" s="85">
        <f t="shared" si="4"/>
        <v>23639.183014934006</v>
      </c>
      <c r="AA7" s="80">
        <f>IF($AE7&gt;$Z7,$AE7*(1+'Factors &amp; Percentages'!$B$3),IF($Y7&gt;$Z7,$Z7,IF($Y7&gt;$AE7,$Y7,$AE7*(1+'Factors &amp; Percentages'!$B$3))))</f>
        <v>23639.183014934006</v>
      </c>
      <c r="AB7" s="80">
        <f t="shared" si="5"/>
        <v>23639.183014934006</v>
      </c>
      <c r="AC7" s="85"/>
      <c r="AD7" s="80">
        <f t="shared" si="6"/>
        <v>23639.183014934006</v>
      </c>
      <c r="AE7" s="86">
        <v>13437</v>
      </c>
      <c r="AF7" s="87"/>
      <c r="AG7" s="88"/>
      <c r="AH7" s="88"/>
      <c r="AI7" s="88"/>
      <c r="AJ7" s="5"/>
    </row>
    <row r="8" spans="1:36" x14ac:dyDescent="0.3">
      <c r="A8" s="91" t="s">
        <v>138</v>
      </c>
      <c r="B8" s="76" t="s">
        <v>8</v>
      </c>
      <c r="C8" s="76" t="s">
        <v>132</v>
      </c>
      <c r="D8" s="31"/>
      <c r="E8" s="43">
        <f t="shared" si="0"/>
        <v>27300</v>
      </c>
      <c r="F8" s="29"/>
      <c r="G8" s="51">
        <f>52708-757</f>
        <v>51951</v>
      </c>
      <c r="H8" s="59">
        <v>73418</v>
      </c>
      <c r="I8" s="51">
        <v>72897</v>
      </c>
      <c r="J8" s="59">
        <v>64144</v>
      </c>
      <c r="K8" s="49">
        <v>4100</v>
      </c>
      <c r="L8" s="29"/>
      <c r="M8" s="62">
        <f t="shared" si="1"/>
        <v>73828</v>
      </c>
      <c r="N8" s="58">
        <f t="shared" si="2"/>
        <v>79311.399999999994</v>
      </c>
      <c r="O8" s="46">
        <f>SUM(M8*'Factors &amp; Percentages'!$E$6+N8*'Factors &amp; Percentages'!$E$7)</f>
        <v>10595.534402093088</v>
      </c>
      <c r="P8" s="65">
        <v>0.5</v>
      </c>
      <c r="Q8" s="46">
        <f>P8*'Factors &amp; Percentages'!$E$10</f>
        <v>5482.7878955843717</v>
      </c>
      <c r="R8" s="69">
        <v>251</v>
      </c>
      <c r="S8" s="46">
        <f>R8*'Factors &amp; Percentages'!$E$13</f>
        <v>445.69581124611096</v>
      </c>
      <c r="T8" s="63">
        <v>50</v>
      </c>
      <c r="U8" s="64">
        <v>90</v>
      </c>
      <c r="V8" s="63">
        <v>5028</v>
      </c>
      <c r="W8" s="46">
        <f>T8*'Factors &amp; Percentages'!$E$16+U8*'Factors &amp; Percentages'!$E$17+V8*'Factors &amp; Percentages'!$E$18</f>
        <v>8212.4677845636415</v>
      </c>
      <c r="X8" s="114"/>
      <c r="Y8" s="58">
        <f t="shared" si="3"/>
        <v>24736.48589348721</v>
      </c>
      <c r="Z8" s="71">
        <f t="shared" si="4"/>
        <v>24736.48589348721</v>
      </c>
      <c r="AA8" s="51">
        <f>IF($AE8&gt;$Z8,$AE8*(1+'Factors &amp; Percentages'!$B$3),IF($Y8&gt;$Z8,$Z8,IF($Y8&gt;$AE8,$Y8,$AE8*(1+'Factors &amp; Percentages'!$B$3))))</f>
        <v>27300</v>
      </c>
      <c r="AB8" s="59">
        <f t="shared" si="5"/>
        <v>27300</v>
      </c>
      <c r="AC8" s="42"/>
      <c r="AD8" s="43">
        <f t="shared" si="6"/>
        <v>27300</v>
      </c>
      <c r="AE8" s="75">
        <v>26000</v>
      </c>
      <c r="AF8" s="32"/>
      <c r="AG8" s="33"/>
      <c r="AH8" s="33"/>
      <c r="AI8" s="33"/>
      <c r="AJ8" s="5"/>
    </row>
    <row r="9" spans="1:36" s="89" customFormat="1" x14ac:dyDescent="0.3">
      <c r="A9" s="90" t="s">
        <v>139</v>
      </c>
      <c r="B9" s="78" t="s">
        <v>8</v>
      </c>
      <c r="C9" s="78" t="s">
        <v>132</v>
      </c>
      <c r="D9" s="79"/>
      <c r="E9" s="80">
        <f t="shared" si="0"/>
        <v>23596.159510796926</v>
      </c>
      <c r="F9" s="80"/>
      <c r="G9" s="80">
        <v>41121</v>
      </c>
      <c r="H9" s="80">
        <v>38924</v>
      </c>
      <c r="I9" s="80">
        <v>17741</v>
      </c>
      <c r="J9" s="80">
        <v>7315</v>
      </c>
      <c r="K9" s="80">
        <v>3917</v>
      </c>
      <c r="L9" s="80"/>
      <c r="M9" s="81">
        <f t="shared" si="1"/>
        <v>39315.699999999997</v>
      </c>
      <c r="N9" s="81">
        <f t="shared" si="2"/>
        <v>18472.5</v>
      </c>
      <c r="O9" s="81">
        <f>SUM(M9*'Factors &amp; Percentages'!$E$6+N9*'Factors &amp; Percentages'!$E$7)</f>
        <v>4251.0874398402057</v>
      </c>
      <c r="P9" s="82">
        <v>0.66</v>
      </c>
      <c r="Q9" s="81">
        <f>P9*'Factors &amp; Percentages'!$E$10</f>
        <v>7237.2800221713705</v>
      </c>
      <c r="R9" s="83">
        <v>3244</v>
      </c>
      <c r="S9" s="81">
        <f>R9*'Factors &amp; Percentages'!$E$13</f>
        <v>5760.3076162644775</v>
      </c>
      <c r="T9" s="84">
        <v>30</v>
      </c>
      <c r="U9" s="84">
        <v>62</v>
      </c>
      <c r="V9" s="84">
        <v>10379</v>
      </c>
      <c r="W9" s="81">
        <f>T9*'Factors &amp; Percentages'!$E$16+U9*'Factors &amp; Percentages'!$E$17+V9*'Factors &amp; Percentages'!$E$18</f>
        <v>6347.4844325208705</v>
      </c>
      <c r="X9" s="113"/>
      <c r="Y9" s="81">
        <f t="shared" si="3"/>
        <v>23596.159510796926</v>
      </c>
      <c r="Z9" s="85">
        <f t="shared" si="4"/>
        <v>23596.159510796926</v>
      </c>
      <c r="AA9" s="80">
        <f>IF($AE9&gt;$Z9,$AE9*(1+'Factors &amp; Percentages'!$B$3),IF($Y9&gt;$Z9,$Z9,IF($Y9&gt;$AE9,$Y9,$AE9*(1+'Factors &amp; Percentages'!$B$3))))</f>
        <v>23596.159510796926</v>
      </c>
      <c r="AB9" s="80">
        <f t="shared" si="5"/>
        <v>23596.159510796926</v>
      </c>
      <c r="AC9" s="85"/>
      <c r="AD9" s="80">
        <f t="shared" si="6"/>
        <v>23596.159510796926</v>
      </c>
      <c r="AE9" s="86">
        <v>12000</v>
      </c>
      <c r="AF9" s="87"/>
      <c r="AG9" s="88"/>
      <c r="AH9" s="88"/>
      <c r="AI9" s="88"/>
      <c r="AJ9" s="5"/>
    </row>
    <row r="10" spans="1:36" x14ac:dyDescent="0.3">
      <c r="A10" s="91" t="s">
        <v>140</v>
      </c>
      <c r="B10" s="76" t="s">
        <v>8</v>
      </c>
      <c r="C10" s="76" t="s">
        <v>132</v>
      </c>
      <c r="D10" s="31"/>
      <c r="E10" s="43">
        <f t="shared" si="0"/>
        <v>15325.532105778177</v>
      </c>
      <c r="F10" s="29"/>
      <c r="G10" s="51">
        <v>17469</v>
      </c>
      <c r="H10" s="59">
        <v>24149</v>
      </c>
      <c r="I10" s="51">
        <v>28786</v>
      </c>
      <c r="J10" s="59">
        <v>40427</v>
      </c>
      <c r="K10" s="49">
        <v>345</v>
      </c>
      <c r="L10" s="29"/>
      <c r="M10" s="62">
        <f t="shared" si="1"/>
        <v>24183.5</v>
      </c>
      <c r="N10" s="58">
        <f t="shared" si="2"/>
        <v>32828.699999999997</v>
      </c>
      <c r="O10" s="46">
        <f>SUM(M10*'Factors &amp; Percentages'!$E$6+N10*'Factors &amp; Percentages'!$E$7)</f>
        <v>3871.7479645721005</v>
      </c>
      <c r="P10" s="65">
        <v>0.5</v>
      </c>
      <c r="Q10" s="46">
        <f>P10*'Factors &amp; Percentages'!$E$10</f>
        <v>5482.7878955843717</v>
      </c>
      <c r="R10" s="69">
        <v>167</v>
      </c>
      <c r="S10" s="46">
        <f>R10*'Factors &amp; Percentages'!$E$13</f>
        <v>296.53864732310967</v>
      </c>
      <c r="T10" s="63">
        <v>30</v>
      </c>
      <c r="U10" s="64">
        <v>50</v>
      </c>
      <c r="V10" s="63">
        <v>7739</v>
      </c>
      <c r="W10" s="46">
        <f>T10*'Factors &amp; Percentages'!$E$16+U10*'Factors &amp; Percentages'!$E$17+V10*'Factors &amp; Percentages'!$E$18</f>
        <v>5674.4575982985934</v>
      </c>
      <c r="X10" s="114"/>
      <c r="Y10" s="58">
        <f t="shared" si="3"/>
        <v>15325.532105778177</v>
      </c>
      <c r="Z10" s="71">
        <f t="shared" si="4"/>
        <v>15325.532105778177</v>
      </c>
      <c r="AA10" s="51">
        <f>IF($AE10&gt;$Z10,$AE10*(1+'Factors &amp; Percentages'!$B$3),IF($Y10&gt;$Z10,$Z10,IF($Y10&gt;$AE10,$Y10,$AE10*(1+'Factors &amp; Percentages'!$B$3))))</f>
        <v>15325.532105778177</v>
      </c>
      <c r="AB10" s="59">
        <f t="shared" si="5"/>
        <v>15325.532105778177</v>
      </c>
      <c r="AC10" s="42"/>
      <c r="AD10" s="43">
        <f t="shared" si="6"/>
        <v>15325.532105778177</v>
      </c>
      <c r="AE10" s="75">
        <v>13125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141</v>
      </c>
      <c r="B11" s="78" t="s">
        <v>8</v>
      </c>
      <c r="C11" s="78" t="s">
        <v>132</v>
      </c>
      <c r="D11" s="79"/>
      <c r="E11" s="80">
        <f t="shared" si="0"/>
        <v>20712.364818919119</v>
      </c>
      <c r="F11" s="80"/>
      <c r="G11" s="80">
        <v>21826</v>
      </c>
      <c r="H11" s="80">
        <v>24933</v>
      </c>
      <c r="I11" s="80">
        <v>118503</v>
      </c>
      <c r="J11" s="80">
        <v>739</v>
      </c>
      <c r="K11" s="80">
        <v>38</v>
      </c>
      <c r="L11" s="80"/>
      <c r="M11" s="81">
        <f t="shared" si="1"/>
        <v>24936.799999999999</v>
      </c>
      <c r="N11" s="81">
        <f t="shared" si="2"/>
        <v>118576.9</v>
      </c>
      <c r="O11" s="81">
        <f>SUM(M11*'Factors &amp; Percentages'!$E$6+N11*'Factors &amp; Percentages'!$E$7)</f>
        <v>8953.1174125785237</v>
      </c>
      <c r="P11" s="82">
        <v>0.5</v>
      </c>
      <c r="Q11" s="81">
        <f>P11*'Factors &amp; Percentages'!$E$10</f>
        <v>5482.7878955843717</v>
      </c>
      <c r="R11" s="83">
        <v>324</v>
      </c>
      <c r="S11" s="81">
        <f>R11*'Factors &amp; Percentages'!$E$13</f>
        <v>575.32048941729056</v>
      </c>
      <c r="T11" s="84">
        <v>32</v>
      </c>
      <c r="U11" s="84">
        <v>56</v>
      </c>
      <c r="V11" s="84">
        <v>5951</v>
      </c>
      <c r="W11" s="81">
        <f>T11*'Factors &amp; Percentages'!$E$16+U11*'Factors &amp; Percentages'!$E$17+V11*'Factors &amp; Percentages'!$E$18</f>
        <v>5701.1390213389332</v>
      </c>
      <c r="X11" s="113"/>
      <c r="Y11" s="81">
        <f t="shared" si="3"/>
        <v>20712.364818919119</v>
      </c>
      <c r="Z11" s="85">
        <f t="shared" si="4"/>
        <v>20712.364818919119</v>
      </c>
      <c r="AA11" s="80">
        <f>IF($AE11&gt;$Z11,$AE11*(1+'Factors &amp; Percentages'!$B$3),IF($Y11&gt;$Z11,$Z11,IF($Y11&gt;$AE11,$Y11,$AE11*(1+'Factors &amp; Percentages'!$B$3))))</f>
        <v>20712.364818919119</v>
      </c>
      <c r="AB11" s="80">
        <f t="shared" si="5"/>
        <v>20712.364818919119</v>
      </c>
      <c r="AC11" s="85"/>
      <c r="AD11" s="80">
        <f t="shared" si="6"/>
        <v>20712.364818919119</v>
      </c>
      <c r="AE11" s="86">
        <v>14187</v>
      </c>
      <c r="AF11" s="87"/>
      <c r="AG11" s="88"/>
      <c r="AH11" s="88"/>
      <c r="AI11" s="88"/>
      <c r="AJ11" s="5"/>
    </row>
    <row r="12" spans="1:36" x14ac:dyDescent="0.3">
      <c r="A12" s="91" t="s">
        <v>142</v>
      </c>
      <c r="B12" s="76" t="s">
        <v>8</v>
      </c>
      <c r="C12" s="76" t="s">
        <v>132</v>
      </c>
      <c r="D12" s="31"/>
      <c r="E12" s="43">
        <f t="shared" ref="E12:E14" si="7">+AB12</f>
        <v>24996.886783492901</v>
      </c>
      <c r="F12" s="29"/>
      <c r="G12" s="51">
        <v>27060</v>
      </c>
      <c r="H12" s="59">
        <v>30241</v>
      </c>
      <c r="I12" s="51">
        <v>36776</v>
      </c>
      <c r="J12" s="59">
        <v>29122</v>
      </c>
      <c r="K12" s="49">
        <v>6790</v>
      </c>
      <c r="L12" s="29"/>
      <c r="M12" s="62">
        <f t="shared" ref="M12:M14" si="8">H12+K12*0.1</f>
        <v>30920</v>
      </c>
      <c r="N12" s="58">
        <f t="shared" ref="N12:N14" si="9">I12+0.1*J12</f>
        <v>39688.199999999997</v>
      </c>
      <c r="O12" s="46">
        <f>SUM(M12*'Factors &amp; Percentages'!$E$6+N12*'Factors &amp; Percentages'!$E$7)</f>
        <v>4816.4532214890205</v>
      </c>
      <c r="P12" s="65">
        <v>1</v>
      </c>
      <c r="Q12" s="46">
        <f>P12*'Factors &amp; Percentages'!$E$10</f>
        <v>10965.575791168743</v>
      </c>
      <c r="R12" s="69">
        <v>699</v>
      </c>
      <c r="S12" s="46">
        <f>R12*'Factors &amp; Percentages'!$E$13</f>
        <v>1241.2006855021177</v>
      </c>
      <c r="T12" s="63">
        <v>38</v>
      </c>
      <c r="U12" s="64">
        <v>56</v>
      </c>
      <c r="V12" s="63">
        <v>15095</v>
      </c>
      <c r="W12" s="46">
        <f>T12*'Factors &amp; Percentages'!$E$16+U12*'Factors &amp; Percentages'!$E$17+V12*'Factors &amp; Percentages'!$E$18</f>
        <v>7973.6570853330186</v>
      </c>
      <c r="X12" s="114"/>
      <c r="Y12" s="58">
        <f t="shared" ref="Y12:Y14" si="10">O12+Q12+S12+W12</f>
        <v>24996.886783492901</v>
      </c>
      <c r="Z12" s="71">
        <f t="shared" ref="Z12:Z14" si="11">IF($I12&gt;($H12+$G12)/2,$Y12,MIN(Y12,$H12*0.65))</f>
        <v>24996.886783492901</v>
      </c>
      <c r="AA12" s="51">
        <f>IF($AE12&gt;$Z12,$AE12*(1+'Factors &amp; Percentages'!$B$3),IF($Y12&gt;$Z12,$Z12,IF($Y12&gt;$AE12,$Y12,$AE12*(1+'Factors &amp; Percentages'!$B$3))))</f>
        <v>24996.886783492901</v>
      </c>
      <c r="AB12" s="59">
        <f t="shared" ref="AB12:AB14" si="12">MIN(AA12,+P12*2*88928)</f>
        <v>24996.886783492901</v>
      </c>
      <c r="AC12" s="42"/>
      <c r="AD12" s="43">
        <f t="shared" ref="AD12:AD14" si="13">AB12</f>
        <v>24996.886783492901</v>
      </c>
      <c r="AE12" s="75">
        <v>17589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143</v>
      </c>
      <c r="B13" s="78" t="s">
        <v>8</v>
      </c>
      <c r="C13" s="78" t="s">
        <v>132</v>
      </c>
      <c r="D13" s="79"/>
      <c r="E13" s="80">
        <f t="shared" si="7"/>
        <v>21429.133810157386</v>
      </c>
      <c r="F13" s="80"/>
      <c r="G13" s="80">
        <f>24564-500</f>
        <v>24064</v>
      </c>
      <c r="H13" s="80">
        <v>36701</v>
      </c>
      <c r="I13" s="80">
        <v>13635</v>
      </c>
      <c r="J13" s="80">
        <v>52489</v>
      </c>
      <c r="K13" s="80">
        <v>349</v>
      </c>
      <c r="L13" s="80"/>
      <c r="M13" s="81">
        <f t="shared" si="8"/>
        <v>36735.9</v>
      </c>
      <c r="N13" s="81">
        <f t="shared" si="9"/>
        <v>18883.900000000001</v>
      </c>
      <c r="O13" s="81">
        <f>SUM(M13*'Factors &amp; Percentages'!$E$6+N13*'Factors &amp; Percentages'!$E$7)</f>
        <v>4067.2001825489397</v>
      </c>
      <c r="P13" s="82">
        <v>0.5</v>
      </c>
      <c r="Q13" s="81">
        <f>P13*'Factors &amp; Percentages'!$E$10</f>
        <v>5482.7878955843717</v>
      </c>
      <c r="R13" s="83">
        <v>3231</v>
      </c>
      <c r="S13" s="81">
        <f>R13*'Factors &amp; Percentages'!$E$13</f>
        <v>5737.2237694668702</v>
      </c>
      <c r="T13" s="84">
        <v>26</v>
      </c>
      <c r="U13" s="84">
        <v>92</v>
      </c>
      <c r="V13" s="84">
        <v>8731</v>
      </c>
      <c r="W13" s="81">
        <f>T13*'Factors &amp; Percentages'!$E$16+U13*'Factors &amp; Percentages'!$E$17+V13*'Factors &amp; Percentages'!$E$18</f>
        <v>6141.9219625572059</v>
      </c>
      <c r="X13" s="113"/>
      <c r="Y13" s="81">
        <f t="shared" si="10"/>
        <v>21429.133810157386</v>
      </c>
      <c r="Z13" s="85">
        <f t="shared" si="11"/>
        <v>21429.133810157386</v>
      </c>
      <c r="AA13" s="80">
        <f>IF($AE13&gt;$Z13,$AE13*(1+'Factors &amp; Percentages'!$B$3),IF($Y13&gt;$Z13,$Z13,IF($Y13&gt;$AE13,$Y13,$AE13*(1+'Factors &amp; Percentages'!$B$3))))</f>
        <v>21429.133810157386</v>
      </c>
      <c r="AB13" s="80">
        <f t="shared" si="12"/>
        <v>21429.133810157386</v>
      </c>
      <c r="AC13" s="85"/>
      <c r="AD13" s="80">
        <f t="shared" si="13"/>
        <v>21429.133810157386</v>
      </c>
      <c r="AE13" s="86">
        <v>15642</v>
      </c>
      <c r="AF13" s="87"/>
      <c r="AG13" s="88"/>
      <c r="AH13" s="88"/>
      <c r="AI13" s="88"/>
      <c r="AJ13" s="5"/>
    </row>
    <row r="14" spans="1:36" x14ac:dyDescent="0.3">
      <c r="A14" s="91" t="s">
        <v>144</v>
      </c>
      <c r="B14" s="76" t="s">
        <v>8</v>
      </c>
      <c r="C14" s="76" t="s">
        <v>132</v>
      </c>
      <c r="D14" s="31"/>
      <c r="E14" s="43">
        <f t="shared" si="7"/>
        <v>40713.75</v>
      </c>
      <c r="F14" s="29"/>
      <c r="G14" s="51">
        <f>104883-1604</f>
        <v>103279</v>
      </c>
      <c r="H14" s="59">
        <v>112811</v>
      </c>
      <c r="I14" s="51">
        <v>20386</v>
      </c>
      <c r="J14" s="59">
        <v>41972</v>
      </c>
      <c r="K14" s="49">
        <v>29742</v>
      </c>
      <c r="L14" s="29"/>
      <c r="M14" s="62">
        <f t="shared" si="8"/>
        <v>115785.2</v>
      </c>
      <c r="N14" s="58">
        <f t="shared" si="9"/>
        <v>24583.200000000001</v>
      </c>
      <c r="O14" s="46">
        <f>SUM(M14*'Factors &amp; Percentages'!$E$6+N14*'Factors &amp; Percentages'!$E$7)</f>
        <v>10773.598563061771</v>
      </c>
      <c r="P14" s="65">
        <v>0.66</v>
      </c>
      <c r="Q14" s="46">
        <f>P14*'Factors &amp; Percentages'!$E$10</f>
        <v>7237.2800221713705</v>
      </c>
      <c r="R14" s="69">
        <v>298</v>
      </c>
      <c r="S14" s="46">
        <f>R14*'Factors &amp; Percentages'!$E$13</f>
        <v>529.15279582207597</v>
      </c>
      <c r="T14" s="63">
        <v>60</v>
      </c>
      <c r="U14" s="64">
        <v>93</v>
      </c>
      <c r="V14" s="63">
        <v>8502</v>
      </c>
      <c r="W14" s="46">
        <f>T14*'Factors &amp; Percentages'!$E$16+U14*'Factors &amp; Percentages'!$E$17+V14*'Factors &amp; Percentages'!$E$18</f>
        <v>10013.813050167955</v>
      </c>
      <c r="X14" s="114"/>
      <c r="Y14" s="58">
        <f t="shared" si="10"/>
        <v>28553.844431223173</v>
      </c>
      <c r="Z14" s="71">
        <f t="shared" si="11"/>
        <v>28553.844431223173</v>
      </c>
      <c r="AA14" s="51">
        <f>IF($AE14&gt;$Z14,$AE14*(1+'Factors &amp; Percentages'!$B$3),IF($Y14&gt;$Z14,$Z14,IF($Y14&gt;$AE14,$Y14,$AE14*(1+'Factors &amp; Percentages'!$B$3))))</f>
        <v>40713.75</v>
      </c>
      <c r="AB14" s="59">
        <f t="shared" si="12"/>
        <v>40713.75</v>
      </c>
      <c r="AC14" s="42"/>
      <c r="AD14" s="43">
        <f t="shared" si="13"/>
        <v>40713.75</v>
      </c>
      <c r="AE14" s="75">
        <v>38775</v>
      </c>
      <c r="AF14" s="32"/>
      <c r="AG14" s="33"/>
      <c r="AH14" s="33"/>
      <c r="AI14" s="33"/>
      <c r="AJ14" s="5"/>
    </row>
    <row r="15" spans="1:36" s="89" customFormat="1" x14ac:dyDescent="0.3">
      <c r="A15" s="90"/>
      <c r="B15" s="78"/>
      <c r="C15" s="78"/>
      <c r="D15" s="79"/>
      <c r="E15" s="80"/>
      <c r="F15" s="80"/>
      <c r="G15" s="80"/>
      <c r="H15" s="80"/>
      <c r="I15" s="80"/>
      <c r="J15" s="80"/>
      <c r="K15" s="80"/>
      <c r="L15" s="80"/>
      <c r="M15" s="81"/>
      <c r="N15" s="81"/>
      <c r="O15" s="81"/>
      <c r="P15" s="82"/>
      <c r="Q15" s="81"/>
      <c r="R15" s="83"/>
      <c r="S15" s="81"/>
      <c r="T15" s="84"/>
      <c r="U15" s="84"/>
      <c r="V15" s="84"/>
      <c r="W15" s="81"/>
      <c r="X15" s="113"/>
      <c r="Y15" s="81"/>
      <c r="Z15" s="85"/>
      <c r="AA15" s="80"/>
      <c r="AB15" s="80"/>
      <c r="AC15" s="85"/>
      <c r="AD15" s="80"/>
      <c r="AE15" s="86"/>
      <c r="AF15" s="87"/>
      <c r="AG15" s="88"/>
      <c r="AH15" s="88"/>
      <c r="AI15" s="88"/>
      <c r="AJ15" s="5"/>
    </row>
    <row r="16" spans="1:36" ht="15" thickBot="1" x14ac:dyDescent="0.35">
      <c r="E16" s="44">
        <f>SUM(E3:E14)</f>
        <v>286714.5926529243</v>
      </c>
      <c r="F16" s="41"/>
      <c r="G16" s="52">
        <f>SUM(G3:G15)</f>
        <v>418453</v>
      </c>
      <c r="H16" s="60">
        <f>SUM(H3:H15)</f>
        <v>479939</v>
      </c>
      <c r="I16" s="52">
        <f>SUM(I3:I15)</f>
        <v>466180</v>
      </c>
      <c r="J16" s="60">
        <f>SUM(J3:J15)</f>
        <v>524334</v>
      </c>
      <c r="K16" s="50">
        <f>SUM(K3:K15)</f>
        <v>78620</v>
      </c>
      <c r="L16" s="41"/>
      <c r="M16" s="60">
        <f t="shared" ref="M16:W16" si="14">SUM(M3:M15)</f>
        <v>487801</v>
      </c>
      <c r="N16" s="52">
        <f t="shared" si="14"/>
        <v>518613.4</v>
      </c>
      <c r="O16" s="47">
        <f t="shared" si="14"/>
        <v>69690.259303085943</v>
      </c>
      <c r="P16" s="67">
        <f t="shared" si="14"/>
        <v>7.23</v>
      </c>
      <c r="Q16" s="47">
        <f t="shared" si="14"/>
        <v>79281.112970150018</v>
      </c>
      <c r="R16" s="67">
        <f t="shared" si="14"/>
        <v>30614</v>
      </c>
      <c r="S16" s="47">
        <f t="shared" si="14"/>
        <v>54360.683527842397</v>
      </c>
      <c r="T16" s="67">
        <f t="shared" si="14"/>
        <v>414</v>
      </c>
      <c r="U16" s="68">
        <f t="shared" si="14"/>
        <v>764</v>
      </c>
      <c r="V16" s="67">
        <f t="shared" si="14"/>
        <v>92902</v>
      </c>
      <c r="W16" s="47">
        <f t="shared" si="14"/>
        <v>77225.844820842773</v>
      </c>
      <c r="X16" s="115"/>
      <c r="Y16" s="52">
        <f>SUM(Y3:Y15)</f>
        <v>280557.90062192112</v>
      </c>
      <c r="Z16" s="60">
        <f>SUM(Z3:Z15)</f>
        <v>262624.17297763471</v>
      </c>
      <c r="AA16" s="56">
        <f>SUM(AA3:AA14)</f>
        <v>286714.5926529243</v>
      </c>
      <c r="AB16" s="74">
        <f>SUM(AB3:AB14)</f>
        <v>286714.5926529243</v>
      </c>
      <c r="AC16" s="29"/>
      <c r="AD16" s="44">
        <f>SUM(AD3:AD14)</f>
        <v>286714.5926529243</v>
      </c>
      <c r="AE16" s="56">
        <f>SUM(AE3:AE14)</f>
        <v>221955</v>
      </c>
      <c r="AF16" s="36"/>
      <c r="AG16" s="37"/>
      <c r="AH16" s="37"/>
      <c r="AI16" s="37"/>
      <c r="AJ16" s="6"/>
    </row>
    <row r="17" ht="15" hidden="1" thickTop="1" x14ac:dyDescent="0.3"/>
  </sheetData>
  <sheetProtection algorithmName="SHA-512" hashValue="PKw3AdQnkIdOFyF18lUaTPTnpLVC9EozErpvjbpWvGwJoBKLjnpP1tBxL2qDm0sMPhU/bvgV0tH17NwXODqhIw==" saltValue="ZEsN7xL24lASJFDv//jPtw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DDD8-712A-427B-B9A8-51425DFBCCC1}">
  <dimension ref="A1:AV15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C1" sqref="C1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237</v>
      </c>
      <c r="B3" s="78" t="s">
        <v>43</v>
      </c>
      <c r="C3" s="78" t="s">
        <v>123</v>
      </c>
      <c r="D3" s="79"/>
      <c r="E3" s="80">
        <f t="shared" ref="E3:E5" si="0">+AB3</f>
        <v>29315.796919081695</v>
      </c>
      <c r="F3" s="80"/>
      <c r="G3" s="80">
        <f>24993-540</f>
        <v>24453</v>
      </c>
      <c r="H3" s="80">
        <v>46681</v>
      </c>
      <c r="I3" s="80">
        <v>97597</v>
      </c>
      <c r="J3" s="80">
        <v>3237</v>
      </c>
      <c r="K3" s="80">
        <v>4251</v>
      </c>
      <c r="L3" s="80"/>
      <c r="M3" s="81">
        <f t="shared" ref="M3:M5" si="1">H3+K3*0.1</f>
        <v>47106.1</v>
      </c>
      <c r="N3" s="81">
        <f t="shared" ref="N3:N5" si="2">I3+0.1*J3</f>
        <v>97920.7</v>
      </c>
      <c r="O3" s="81">
        <f>SUM(M3*'Factors &amp; Percentages'!$E$6+N3*'Factors &amp; Percentages'!$E$7)</f>
        <v>9530.8939694966321</v>
      </c>
      <c r="P3" s="82">
        <v>0.5</v>
      </c>
      <c r="Q3" s="81">
        <f>P3*'Factors &amp; Percentages'!$E$10</f>
        <v>5482.7878955843717</v>
      </c>
      <c r="R3" s="83">
        <v>5268</v>
      </c>
      <c r="S3" s="81">
        <f>R3*'Factors &amp; Percentages'!$E$13</f>
        <v>9354.2849945996513</v>
      </c>
      <c r="T3" s="84">
        <v>27</v>
      </c>
      <c r="U3" s="84">
        <v>45</v>
      </c>
      <c r="V3" s="84">
        <v>6047</v>
      </c>
      <c r="W3" s="81">
        <f>T3*'Factors &amp; Percentages'!$E$16+U3*'Factors &amp; Percentages'!$E$17+V3*'Factors &amp; Percentages'!$E$18</f>
        <v>4947.8300594010398</v>
      </c>
      <c r="X3" s="113"/>
      <c r="Y3" s="81">
        <f t="shared" ref="Y3:Y5" si="3">O3+Q3+S3+W3</f>
        <v>29315.796919081695</v>
      </c>
      <c r="Z3" s="85">
        <f t="shared" ref="Z3:Z5" si="4">IF($I3&gt;($H3+$G3)/2,$Y3,MIN(Y3,$H3*0.65))</f>
        <v>29315.796919081695</v>
      </c>
      <c r="AA3" s="80">
        <f>IF($AE3&gt;$Z3,$AE3*(1+'Factors &amp; Percentages'!$B$3),IF($Y3&gt;$Z3,$Z3,IF($Y3&gt;$AE3,$Y3,$AE3*(1+'Factors &amp; Percentages'!$B$3))))</f>
        <v>29315.796919081695</v>
      </c>
      <c r="AB3" s="80">
        <f t="shared" ref="AB3:AB5" si="5">MIN(AA3,+P3*2*88928)</f>
        <v>29315.796919081695</v>
      </c>
      <c r="AC3" s="85"/>
      <c r="AD3" s="80">
        <f t="shared" ref="AD3:AD5" si="6">AB3</f>
        <v>29315.796919081695</v>
      </c>
      <c r="AE3" s="86">
        <v>11160</v>
      </c>
      <c r="AF3" s="87"/>
      <c r="AG3" s="88"/>
      <c r="AH3" s="88"/>
      <c r="AI3" s="88"/>
      <c r="AJ3" s="5"/>
    </row>
    <row r="4" spans="1:36" x14ac:dyDescent="0.3">
      <c r="A4" s="91" t="s">
        <v>124</v>
      </c>
      <c r="B4" s="76" t="s">
        <v>43</v>
      </c>
      <c r="C4" s="76" t="s">
        <v>123</v>
      </c>
      <c r="D4" s="31"/>
      <c r="E4" s="43">
        <f t="shared" si="0"/>
        <v>7495.6849947098208</v>
      </c>
      <c r="F4" s="29"/>
      <c r="G4" s="51">
        <v>8500</v>
      </c>
      <c r="H4" s="59">
        <v>11739</v>
      </c>
      <c r="I4" s="51">
        <v>8314</v>
      </c>
      <c r="J4" s="59">
        <v>2047</v>
      </c>
      <c r="K4" s="49">
        <v>4739</v>
      </c>
      <c r="L4" s="29"/>
      <c r="M4" s="62">
        <f t="shared" si="1"/>
        <v>12212.9</v>
      </c>
      <c r="N4" s="58">
        <f t="shared" si="2"/>
        <v>8518.7000000000007</v>
      </c>
      <c r="O4" s="46">
        <f>SUM(M4*'Factors &amp; Percentages'!$E$6+N4*'Factors &amp; Percentages'!$E$7)</f>
        <v>1483.342686049871</v>
      </c>
      <c r="P4" s="65">
        <v>0.25</v>
      </c>
      <c r="Q4" s="46">
        <f>P4*'Factors &amp; Percentages'!$E$10</f>
        <v>2741.3939477921858</v>
      </c>
      <c r="R4" s="69">
        <v>669</v>
      </c>
      <c r="S4" s="46">
        <f>R4*'Factors &amp; Percentages'!$E$13</f>
        <v>1187.9302698153315</v>
      </c>
      <c r="T4" s="63">
        <v>9</v>
      </c>
      <c r="U4" s="64">
        <v>24</v>
      </c>
      <c r="V4" s="63">
        <v>3586</v>
      </c>
      <c r="W4" s="46">
        <f>T4*'Factors &amp; Percentages'!$E$16+U4*'Factors &amp; Percentages'!$E$17+V4*'Factors &amp; Percentages'!$E$18</f>
        <v>2083.0180910524323</v>
      </c>
      <c r="X4" s="114"/>
      <c r="Y4" s="58">
        <f t="shared" si="3"/>
        <v>7495.6849947098208</v>
      </c>
      <c r="Z4" s="71">
        <f t="shared" si="4"/>
        <v>7495.6849947098208</v>
      </c>
      <c r="AA4" s="51">
        <f>IF($AE4&gt;$Z4,$AE4*(1+'Factors &amp; Percentages'!$B$3),IF($Y4&gt;$Z4,$Z4,IF($Y4&gt;$AE4,$Y4,$AE4*(1+'Factors &amp; Percentages'!$B$3))))</f>
        <v>7495.6849947098208</v>
      </c>
      <c r="AB4" s="59">
        <f t="shared" si="5"/>
        <v>7495.6849947098208</v>
      </c>
      <c r="AC4" s="42"/>
      <c r="AD4" s="43">
        <f t="shared" si="6"/>
        <v>7495.6849947098208</v>
      </c>
      <c r="AE4" s="75">
        <v>6300</v>
      </c>
      <c r="AF4" s="32"/>
      <c r="AG4" s="33"/>
      <c r="AH4" s="33"/>
      <c r="AI4" s="33"/>
      <c r="AJ4" s="5"/>
    </row>
    <row r="5" spans="1:36" s="89" customFormat="1" x14ac:dyDescent="0.3">
      <c r="A5" s="90" t="s">
        <v>125</v>
      </c>
      <c r="B5" s="78" t="s">
        <v>43</v>
      </c>
      <c r="C5" s="78" t="s">
        <v>123</v>
      </c>
      <c r="D5" s="79"/>
      <c r="E5" s="80">
        <f t="shared" si="0"/>
        <v>31641.75</v>
      </c>
      <c r="F5" s="80"/>
      <c r="G5" s="80">
        <v>41758</v>
      </c>
      <c r="H5" s="80">
        <v>65369</v>
      </c>
      <c r="I5" s="80">
        <v>32844</v>
      </c>
      <c r="J5" s="80">
        <v>0</v>
      </c>
      <c r="K5" s="80">
        <v>368</v>
      </c>
      <c r="L5" s="80"/>
      <c r="M5" s="81">
        <f t="shared" si="1"/>
        <v>65405.8</v>
      </c>
      <c r="N5" s="81">
        <f t="shared" si="2"/>
        <v>32844</v>
      </c>
      <c r="O5" s="81">
        <f>SUM(M5*'Factors &amp; Percentages'!$E$6+N5*'Factors &amp; Percentages'!$E$7)</f>
        <v>7195.8522449303864</v>
      </c>
      <c r="P5" s="82">
        <v>1</v>
      </c>
      <c r="Q5" s="81">
        <f>P5*'Factors &amp; Percentages'!$E$10</f>
        <v>10965.575791168743</v>
      </c>
      <c r="R5" s="83">
        <v>2304</v>
      </c>
      <c r="S5" s="81">
        <f>R5*'Factors &amp; Percentages'!$E$13</f>
        <v>4091.1679247451775</v>
      </c>
      <c r="T5" s="84">
        <v>25</v>
      </c>
      <c r="U5" s="84">
        <v>82</v>
      </c>
      <c r="V5" s="84">
        <v>9821</v>
      </c>
      <c r="W5" s="81">
        <f>T5*'Factors &amp; Percentages'!$E$16+U5*'Factors &amp; Percentages'!$E$17+V5*'Factors &amp; Percentages'!$E$18</f>
        <v>6036.9729718047347</v>
      </c>
      <c r="X5" s="113"/>
      <c r="Y5" s="81">
        <f t="shared" si="3"/>
        <v>28289.568932649043</v>
      </c>
      <c r="Z5" s="85">
        <f t="shared" si="4"/>
        <v>28289.568932649043</v>
      </c>
      <c r="AA5" s="80">
        <f>IF($AE5&gt;$Z5,$AE5*(1+'Factors &amp; Percentages'!$B$3),IF($Y5&gt;$Z5,$Z5,IF($Y5&gt;$AE5,$Y5,$AE5*(1+'Factors &amp; Percentages'!$B$3))))</f>
        <v>31641.75</v>
      </c>
      <c r="AB5" s="80">
        <f t="shared" si="5"/>
        <v>31641.75</v>
      </c>
      <c r="AC5" s="85"/>
      <c r="AD5" s="80">
        <f t="shared" si="6"/>
        <v>31641.75</v>
      </c>
      <c r="AE5" s="86">
        <v>30135</v>
      </c>
      <c r="AF5" s="87"/>
      <c r="AG5" s="88"/>
      <c r="AH5" s="88"/>
      <c r="AI5" s="88"/>
      <c r="AJ5" s="5"/>
    </row>
    <row r="6" spans="1:36" x14ac:dyDescent="0.3">
      <c r="A6" s="91" t="s">
        <v>126</v>
      </c>
      <c r="B6" s="76" t="s">
        <v>43</v>
      </c>
      <c r="C6" s="76" t="s">
        <v>123</v>
      </c>
      <c r="D6" s="31"/>
      <c r="E6" s="43">
        <f t="shared" ref="E6:E8" si="7">+AB6</f>
        <v>64266.3</v>
      </c>
      <c r="F6" s="29"/>
      <c r="G6" s="51">
        <f>125605-21143</f>
        <v>104462</v>
      </c>
      <c r="H6" s="59">
        <v>109421</v>
      </c>
      <c r="I6" s="51">
        <v>31511</v>
      </c>
      <c r="J6" s="59">
        <v>10677</v>
      </c>
      <c r="K6" s="49">
        <v>7651</v>
      </c>
      <c r="L6" s="29"/>
      <c r="M6" s="62">
        <f t="shared" ref="M6:M8" si="8">H6+K6*0.1</f>
        <v>110186.1</v>
      </c>
      <c r="N6" s="58">
        <f t="shared" ref="N6:N8" si="9">I6+0.1*J6</f>
        <v>32578.7</v>
      </c>
      <c r="O6" s="46">
        <f>SUM(M6*'Factors &amp; Percentages'!$E$6+N6*'Factors &amp; Percentages'!$E$7)</f>
        <v>10790.361569314558</v>
      </c>
      <c r="P6" s="65">
        <v>0.75</v>
      </c>
      <c r="Q6" s="46">
        <f>P6*'Factors &amp; Percentages'!$E$10</f>
        <v>8224.1818433765584</v>
      </c>
      <c r="R6" s="69">
        <v>7814</v>
      </c>
      <c r="S6" s="46">
        <f>R6*'Factors &amp; Percentages'!$E$13</f>
        <v>13875.167605884904</v>
      </c>
      <c r="T6" s="63">
        <v>48</v>
      </c>
      <c r="U6" s="64">
        <v>73</v>
      </c>
      <c r="V6" s="63">
        <v>8594</v>
      </c>
      <c r="W6" s="46">
        <f>T6*'Factors &amp; Percentages'!$E$16+U6*'Factors &amp; Percentages'!$E$17+V6*'Factors &amp; Percentages'!$E$18</f>
        <v>8296.7016576802162</v>
      </c>
      <c r="X6" s="114"/>
      <c r="Y6" s="58">
        <f t="shared" ref="Y6:Y8" si="10">O6+Q6+S6+W6</f>
        <v>41186.412676256237</v>
      </c>
      <c r="Z6" s="71">
        <f t="shared" ref="Z6:Z8" si="11">IF($I6&gt;($H6+$G6)/2,$Y6,MIN(Y6,$H6*0.65))</f>
        <v>41186.412676256237</v>
      </c>
      <c r="AA6" s="51">
        <f>IF($AE6&gt;$Z6,$AE6*(1+'Factors &amp; Percentages'!$B$3),IF($Y6&gt;$Z6,$Z6,IF($Y6&gt;$AE6,$Y6,$AE6*(1+'Factors &amp; Percentages'!$B$3))))</f>
        <v>64266.3</v>
      </c>
      <c r="AB6" s="59">
        <f t="shared" ref="AB6:AB8" si="12">MIN(AA6,+P6*2*88928)</f>
        <v>64266.3</v>
      </c>
      <c r="AC6" s="42"/>
      <c r="AD6" s="43">
        <f t="shared" ref="AD6:AD8" si="13">AB6</f>
        <v>64266.3</v>
      </c>
      <c r="AE6" s="75">
        <v>61206</v>
      </c>
      <c r="AF6" s="32"/>
      <c r="AG6" s="33"/>
      <c r="AH6" s="33"/>
      <c r="AI6" s="33"/>
      <c r="AJ6" s="5"/>
    </row>
    <row r="7" spans="1:36" s="89" customFormat="1" x14ac:dyDescent="0.3">
      <c r="A7" s="90" t="s">
        <v>127</v>
      </c>
      <c r="B7" s="78" t="s">
        <v>43</v>
      </c>
      <c r="C7" s="78" t="s">
        <v>123</v>
      </c>
      <c r="D7" s="79"/>
      <c r="E7" s="80">
        <f t="shared" si="7"/>
        <v>27825</v>
      </c>
      <c r="F7" s="80"/>
      <c r="G7" s="80">
        <f>45419-10572</f>
        <v>34847</v>
      </c>
      <c r="H7" s="80">
        <v>43643</v>
      </c>
      <c r="I7" s="80">
        <v>22920</v>
      </c>
      <c r="J7" s="80">
        <v>-4212</v>
      </c>
      <c r="K7" s="80">
        <v>3264</v>
      </c>
      <c r="L7" s="80"/>
      <c r="M7" s="81">
        <f t="shared" si="8"/>
        <v>43969.4</v>
      </c>
      <c r="N7" s="81">
        <f t="shared" si="9"/>
        <v>22498.799999999999</v>
      </c>
      <c r="O7" s="81">
        <f>SUM(M7*'Factors &amp; Percentages'!$E$6+N7*'Factors &amp; Percentages'!$E$7)</f>
        <v>4861.9974732039973</v>
      </c>
      <c r="P7" s="82">
        <v>0.5</v>
      </c>
      <c r="Q7" s="81">
        <f>P7*'Factors &amp; Percentages'!$E$10</f>
        <v>5482.7878955843717</v>
      </c>
      <c r="R7" s="83">
        <v>4204</v>
      </c>
      <c r="S7" s="81">
        <f>R7*'Factors &amp; Percentages'!$E$13</f>
        <v>7464.9609182416352</v>
      </c>
      <c r="T7" s="84">
        <v>46</v>
      </c>
      <c r="U7" s="84">
        <v>78</v>
      </c>
      <c r="V7" s="84">
        <v>8223</v>
      </c>
      <c r="W7" s="81">
        <f>T7*'Factors &amp; Percentages'!$E$16+U7*'Factors &amp; Percentages'!$E$17+V7*'Factors &amp; Percentages'!$E$18</f>
        <v>8093.046494059925</v>
      </c>
      <c r="X7" s="113"/>
      <c r="Y7" s="81">
        <f t="shared" si="10"/>
        <v>25902.792781089927</v>
      </c>
      <c r="Z7" s="85">
        <f t="shared" si="11"/>
        <v>25902.792781089927</v>
      </c>
      <c r="AA7" s="80">
        <f>IF($AE7&gt;$Z7,$AE7*(1+'Factors &amp; Percentages'!$B$3),IF($Y7&gt;$Z7,$Z7,IF($Y7&gt;$AE7,$Y7,$AE7*(1+'Factors &amp; Percentages'!$B$3))))</f>
        <v>27825</v>
      </c>
      <c r="AB7" s="80">
        <f t="shared" si="12"/>
        <v>27825</v>
      </c>
      <c r="AC7" s="85"/>
      <c r="AD7" s="80">
        <f t="shared" si="13"/>
        <v>27825</v>
      </c>
      <c r="AE7" s="86">
        <v>26500</v>
      </c>
      <c r="AF7" s="87"/>
      <c r="AG7" s="88"/>
      <c r="AH7" s="88"/>
      <c r="AI7" s="88"/>
      <c r="AJ7" s="5"/>
    </row>
    <row r="8" spans="1:36" x14ac:dyDescent="0.3">
      <c r="A8" s="91" t="s">
        <v>128</v>
      </c>
      <c r="B8" s="76" t="s">
        <v>43</v>
      </c>
      <c r="C8" s="76" t="s">
        <v>123</v>
      </c>
      <c r="D8" s="31"/>
      <c r="E8" s="43">
        <f t="shared" si="7"/>
        <v>33107.478031010774</v>
      </c>
      <c r="F8" s="29"/>
      <c r="G8" s="51">
        <f>73093-10572</f>
        <v>62521</v>
      </c>
      <c r="H8" s="59">
        <v>72411</v>
      </c>
      <c r="I8" s="51">
        <v>29277</v>
      </c>
      <c r="J8" s="59">
        <v>13338</v>
      </c>
      <c r="K8" s="49">
        <v>19285</v>
      </c>
      <c r="L8" s="29"/>
      <c r="M8" s="62">
        <f t="shared" si="8"/>
        <v>74339.5</v>
      </c>
      <c r="N8" s="58">
        <f t="shared" si="9"/>
        <v>30610.799999999999</v>
      </c>
      <c r="O8" s="46">
        <f>SUM(M8*'Factors &amp; Percentages'!$E$6+N8*'Factors &amp; Percentages'!$E$7)</f>
        <v>7785.3021931431922</v>
      </c>
      <c r="P8" s="65">
        <v>1</v>
      </c>
      <c r="Q8" s="46">
        <f>P8*'Factors &amp; Percentages'!$E$10</f>
        <v>10965.575791168743</v>
      </c>
      <c r="R8" s="69">
        <v>3687</v>
      </c>
      <c r="S8" s="46">
        <f>R8*'Factors &amp; Percentages'!$E$13</f>
        <v>6546.9340879060201</v>
      </c>
      <c r="T8" s="63">
        <v>43</v>
      </c>
      <c r="U8" s="64">
        <v>74</v>
      </c>
      <c r="V8" s="63">
        <v>8984</v>
      </c>
      <c r="W8" s="46">
        <f>T8*'Factors &amp; Percentages'!$E$16+U8*'Factors &amp; Percentages'!$E$17+V8*'Factors &amp; Percentages'!$E$18</f>
        <v>7809.6659587928216</v>
      </c>
      <c r="X8" s="114"/>
      <c r="Y8" s="58">
        <f t="shared" si="10"/>
        <v>33107.478031010774</v>
      </c>
      <c r="Z8" s="71">
        <f t="shared" si="11"/>
        <v>33107.478031010774</v>
      </c>
      <c r="AA8" s="51">
        <f>IF($AE8&gt;$Z8,$AE8*(1+'Factors &amp; Percentages'!$B$3),IF($Y8&gt;$Z8,$Z8,IF($Y8&gt;$AE8,$Y8,$AE8*(1+'Factors &amp; Percentages'!$B$3))))</f>
        <v>33107.478031010774</v>
      </c>
      <c r="AB8" s="59">
        <f t="shared" si="12"/>
        <v>33107.478031010774</v>
      </c>
      <c r="AC8" s="42"/>
      <c r="AD8" s="43">
        <f t="shared" si="13"/>
        <v>33107.478031010774</v>
      </c>
      <c r="AE8" s="75">
        <v>30000</v>
      </c>
      <c r="AF8" s="32"/>
      <c r="AG8" s="33"/>
      <c r="AH8" s="33"/>
      <c r="AI8" s="33"/>
      <c r="AJ8" s="5"/>
    </row>
    <row r="9" spans="1:36" s="89" customFormat="1" x14ac:dyDescent="0.3">
      <c r="A9" s="90" t="s">
        <v>129</v>
      </c>
      <c r="B9" s="78" t="s">
        <v>43</v>
      </c>
      <c r="C9" s="78" t="s">
        <v>123</v>
      </c>
      <c r="D9" s="79"/>
      <c r="E9" s="80">
        <f t="shared" ref="E9:E11" si="14">+AB9</f>
        <v>31559.20974967393</v>
      </c>
      <c r="F9" s="80"/>
      <c r="G9" s="80">
        <f>70276-9000-10572</f>
        <v>50704</v>
      </c>
      <c r="H9" s="80">
        <v>68407</v>
      </c>
      <c r="I9" s="80">
        <v>22467</v>
      </c>
      <c r="J9" s="80">
        <v>4788</v>
      </c>
      <c r="K9" s="80">
        <v>1933</v>
      </c>
      <c r="L9" s="80"/>
      <c r="M9" s="81">
        <f t="shared" ref="M9:M10" si="15">H9+K9*0.1</f>
        <v>68600.3</v>
      </c>
      <c r="N9" s="81">
        <f t="shared" ref="N9:N10" si="16">I9+0.1*J9</f>
        <v>22945.8</v>
      </c>
      <c r="O9" s="81">
        <f>SUM(M9*'Factors &amp; Percentages'!$E$6+N9*'Factors &amp; Percentages'!$E$7)</f>
        <v>6873.8332239069314</v>
      </c>
      <c r="P9" s="82">
        <v>0.5</v>
      </c>
      <c r="Q9" s="81">
        <f>P9*'Factors &amp; Percentages'!$E$10</f>
        <v>5482.7878955843717</v>
      </c>
      <c r="R9" s="83">
        <v>5312</v>
      </c>
      <c r="S9" s="81">
        <f>R9*'Factors &amp; Percentages'!$E$13</f>
        <v>9432.4149376069381</v>
      </c>
      <c r="T9" s="84">
        <v>50</v>
      </c>
      <c r="U9" s="84">
        <v>153</v>
      </c>
      <c r="V9" s="84">
        <v>7493</v>
      </c>
      <c r="W9" s="81">
        <f>T9*'Factors &amp; Percentages'!$E$16+U9*'Factors &amp; Percentages'!$E$17+V9*'Factors &amp; Percentages'!$E$18</f>
        <v>9770.1736925756904</v>
      </c>
      <c r="X9" s="113"/>
      <c r="Y9" s="81">
        <f t="shared" ref="Y9:Y10" si="17">O9+Q9+S9+W9</f>
        <v>31559.20974967393</v>
      </c>
      <c r="Z9" s="85">
        <f t="shared" ref="Z9:Z10" si="18">IF($I9&gt;($H9+$G9)/2,$Y9,MIN(Y9,$H9*0.65))</f>
        <v>31559.20974967393</v>
      </c>
      <c r="AA9" s="80">
        <f>IF($AE9&gt;$Z9,$AE9*(1+'Factors &amp; Percentages'!$B$3),IF($Y9&gt;$Z9,$Z9,IF($Y9&gt;$AE9,$Y9,$AE9*(1+'Factors &amp; Percentages'!$B$3))))</f>
        <v>31559.20974967393</v>
      </c>
      <c r="AB9" s="80">
        <f t="shared" ref="AB9:AB10" si="19">MIN(AA9,+P9*2*88928)</f>
        <v>31559.20974967393</v>
      </c>
      <c r="AC9" s="85"/>
      <c r="AD9" s="80">
        <f t="shared" ref="AD9:AD10" si="20">AB9</f>
        <v>31559.20974967393</v>
      </c>
      <c r="AE9" s="86">
        <v>29400</v>
      </c>
      <c r="AF9" s="87"/>
      <c r="AG9" s="88"/>
      <c r="AH9" s="88"/>
      <c r="AI9" s="88"/>
      <c r="AJ9" s="5"/>
    </row>
    <row r="10" spans="1:36" x14ac:dyDescent="0.3">
      <c r="A10" s="91" t="s">
        <v>221</v>
      </c>
      <c r="B10" s="76" t="s">
        <v>43</v>
      </c>
      <c r="C10" s="76" t="s">
        <v>123</v>
      </c>
      <c r="D10" s="31"/>
      <c r="E10" s="43">
        <f t="shared" si="14"/>
        <v>13482.413802707451</v>
      </c>
      <c r="F10" s="29"/>
      <c r="G10" s="51">
        <f>28127-10512</f>
        <v>17615</v>
      </c>
      <c r="H10" s="59">
        <v>23363</v>
      </c>
      <c r="I10" s="51">
        <v>53299</v>
      </c>
      <c r="J10" s="59">
        <v>0</v>
      </c>
      <c r="K10" s="49">
        <v>0</v>
      </c>
      <c r="L10" s="29"/>
      <c r="M10" s="62">
        <f t="shared" si="15"/>
        <v>23363</v>
      </c>
      <c r="N10" s="58">
        <f t="shared" si="16"/>
        <v>53299</v>
      </c>
      <c r="O10" s="46">
        <f>SUM(M10*'Factors &amp; Percentages'!$E$6+N10*'Factors &amp; Percentages'!$E$7)</f>
        <v>5004.1579626586972</v>
      </c>
      <c r="P10" s="65">
        <v>0.25</v>
      </c>
      <c r="Q10" s="46">
        <f>P10*'Factors &amp; Percentages'!$E$10</f>
        <v>2741.3939477921858</v>
      </c>
      <c r="R10" s="69">
        <v>1485</v>
      </c>
      <c r="S10" s="46">
        <f>R10*'Factors &amp; Percentages'!$E$13</f>
        <v>2636.8855764959153</v>
      </c>
      <c r="T10" s="63">
        <v>17</v>
      </c>
      <c r="U10" s="64">
        <v>29</v>
      </c>
      <c r="V10" s="63">
        <v>3650</v>
      </c>
      <c r="W10" s="46">
        <f>T10*'Factors &amp; Percentages'!$E$16+U10*'Factors &amp; Percentages'!$E$17+V10*'Factors &amp; Percentages'!$E$18</f>
        <v>3099.976315760654</v>
      </c>
      <c r="X10" s="114"/>
      <c r="Y10" s="58">
        <f t="shared" si="17"/>
        <v>13482.413802707451</v>
      </c>
      <c r="Z10" s="71">
        <f t="shared" si="18"/>
        <v>13482.413802707451</v>
      </c>
      <c r="AA10" s="51">
        <f>IF($AE10&gt;$Z10,$AE10*(1+'Factors &amp; Percentages'!$B$3),IF($Y10&gt;$Z10,$Z10,IF($Y10&gt;$AE10,$Y10,$AE10*(1+'Factors &amp; Percentages'!$B$3))))</f>
        <v>13482.413802707451</v>
      </c>
      <c r="AB10" s="59">
        <f t="shared" si="19"/>
        <v>13482.413802707451</v>
      </c>
      <c r="AC10" s="42"/>
      <c r="AD10" s="43">
        <f t="shared" si="20"/>
        <v>13482.413802707451</v>
      </c>
      <c r="AE10" s="75">
        <v>11450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130</v>
      </c>
      <c r="B11" s="78" t="s">
        <v>43</v>
      </c>
      <c r="C11" s="78" t="s">
        <v>123</v>
      </c>
      <c r="D11" s="79"/>
      <c r="E11" s="80">
        <f t="shared" si="14"/>
        <v>51520.873420993994</v>
      </c>
      <c r="F11" s="80"/>
      <c r="G11" s="80">
        <f>113965-16783-2000</f>
        <v>95182</v>
      </c>
      <c r="H11" s="80">
        <v>118543</v>
      </c>
      <c r="I11" s="80">
        <v>158041</v>
      </c>
      <c r="J11" s="80">
        <v>0</v>
      </c>
      <c r="K11" s="80">
        <v>0</v>
      </c>
      <c r="L11" s="80"/>
      <c r="M11" s="81">
        <f t="shared" ref="M11:M12" si="21">H11+K11*0.1</f>
        <v>118543</v>
      </c>
      <c r="N11" s="81">
        <f t="shared" ref="N11:N12" si="22">I11+0.1*J11</f>
        <v>158041</v>
      </c>
      <c r="O11" s="81">
        <f>SUM(M11*'Factors &amp; Percentages'!$E$6+N11*'Factors &amp; Percentages'!$E$7)</f>
        <v>18810.007981781782</v>
      </c>
      <c r="P11" s="82">
        <v>0.75</v>
      </c>
      <c r="Q11" s="81">
        <f>P11*'Factors &amp; Percentages'!$E$10</f>
        <v>8224.1818433765584</v>
      </c>
      <c r="R11" s="83">
        <v>8968</v>
      </c>
      <c r="S11" s="81">
        <f>R11*'Factors &amp; Percentages'!$E$13</f>
        <v>15924.302929303278</v>
      </c>
      <c r="T11" s="84">
        <v>16</v>
      </c>
      <c r="U11" s="84">
        <v>253</v>
      </c>
      <c r="V11" s="84">
        <v>12636</v>
      </c>
      <c r="W11" s="81">
        <f>T11*'Factors &amp; Percentages'!$E$16+U11*'Factors &amp; Percentages'!$E$17+V11*'Factors &amp; Percentages'!$E$18</f>
        <v>8562.38066653237</v>
      </c>
      <c r="X11" s="113"/>
      <c r="Y11" s="81">
        <f t="shared" ref="Y11:Y12" si="23">O11+Q11+S11+W11</f>
        <v>51520.873420993994</v>
      </c>
      <c r="Z11" s="85">
        <f t="shared" ref="Z11:Z12" si="24">IF($I11&gt;($H11+$G11)/2,$Y11,MIN(Y11,$H11*0.65))</f>
        <v>51520.873420993994</v>
      </c>
      <c r="AA11" s="80">
        <f>IF($AE11&gt;$Z11,$AE11*(1+'Factors &amp; Percentages'!$B$3),IF($Y11&gt;$Z11,$Z11,IF($Y11&gt;$AE11,$Y11,$AE11*(1+'Factors &amp; Percentages'!$B$3))))</f>
        <v>51520.873420993994</v>
      </c>
      <c r="AB11" s="80">
        <f t="shared" ref="AB11:AB12" si="25">MIN(AA11,+P11*2*88928)</f>
        <v>51520.873420993994</v>
      </c>
      <c r="AC11" s="85"/>
      <c r="AD11" s="80">
        <f t="shared" ref="AD11:AD12" si="26">AB11</f>
        <v>51520.873420993994</v>
      </c>
      <c r="AE11" s="86">
        <v>40000</v>
      </c>
      <c r="AF11" s="87"/>
      <c r="AG11" s="88"/>
      <c r="AH11" s="88"/>
      <c r="AI11" s="88"/>
      <c r="AJ11" s="5"/>
    </row>
    <row r="12" spans="1:36" x14ac:dyDescent="0.3">
      <c r="A12" s="91" t="s">
        <v>131</v>
      </c>
      <c r="B12" s="76" t="s">
        <v>43</v>
      </c>
      <c r="C12" s="76" t="s">
        <v>123</v>
      </c>
      <c r="D12" s="31"/>
      <c r="E12" s="43">
        <f t="shared" ref="E12" si="27">+AB12</f>
        <v>28350</v>
      </c>
      <c r="F12" s="29"/>
      <c r="G12" s="51">
        <f>93234-41745</f>
        <v>51489</v>
      </c>
      <c r="H12" s="59">
        <v>61707</v>
      </c>
      <c r="I12" s="51">
        <v>50178</v>
      </c>
      <c r="J12" s="59">
        <v>18373</v>
      </c>
      <c r="K12" s="49">
        <v>0</v>
      </c>
      <c r="L12" s="29"/>
      <c r="M12" s="62">
        <f t="shared" si="21"/>
        <v>61707</v>
      </c>
      <c r="N12" s="58">
        <f t="shared" si="22"/>
        <v>52015.3</v>
      </c>
      <c r="O12" s="46">
        <f>SUM(M12*'Factors &amp; Percentages'!$E$6+N12*'Factors &amp; Percentages'!$E$7)</f>
        <v>8020.1652913985436</v>
      </c>
      <c r="P12" s="65">
        <v>0.5</v>
      </c>
      <c r="Q12" s="46">
        <f>P12*'Factors &amp; Percentages'!$E$10</f>
        <v>5482.7878955843717</v>
      </c>
      <c r="R12" s="69">
        <v>1717</v>
      </c>
      <c r="S12" s="46">
        <f>R12*'Factors &amp; Percentages'!$E$13</f>
        <v>3048.8434578070619</v>
      </c>
      <c r="T12" s="63">
        <v>46</v>
      </c>
      <c r="U12" s="64">
        <v>105</v>
      </c>
      <c r="V12" s="63">
        <v>10921</v>
      </c>
      <c r="W12" s="46">
        <f>T12*'Factors &amp; Percentages'!$E$16+U12*'Factors &amp; Percentages'!$E$17+V12*'Factors &amp; Percentages'!$E$18</f>
        <v>9045.2532573606004</v>
      </c>
      <c r="X12" s="114"/>
      <c r="Y12" s="58">
        <f t="shared" si="23"/>
        <v>25597.049902150578</v>
      </c>
      <c r="Z12" s="71">
        <f t="shared" si="24"/>
        <v>25597.049902150578</v>
      </c>
      <c r="AA12" s="51">
        <f>IF($AE12&gt;$Z12,$AE12*(1+'Factors &amp; Percentages'!$B$3),IF($Y12&gt;$Z12,$Z12,IF($Y12&gt;$AE12,$Y12,$AE12*(1+'Factors &amp; Percentages'!$B$3))))</f>
        <v>28350</v>
      </c>
      <c r="AB12" s="59">
        <f t="shared" si="25"/>
        <v>28350</v>
      </c>
      <c r="AC12" s="42"/>
      <c r="AD12" s="43">
        <f t="shared" si="26"/>
        <v>28350</v>
      </c>
      <c r="AE12" s="75">
        <v>27000</v>
      </c>
      <c r="AF12" s="32"/>
      <c r="AG12" s="33"/>
      <c r="AH12" s="33"/>
      <c r="AI12" s="33"/>
      <c r="AJ12" s="5"/>
    </row>
    <row r="13" spans="1:36" s="89" customFormat="1" x14ac:dyDescent="0.3">
      <c r="A13" s="90"/>
      <c r="B13" s="78"/>
      <c r="C13" s="78"/>
      <c r="D13" s="79"/>
      <c r="E13" s="80"/>
      <c r="F13" s="80"/>
      <c r="G13" s="80"/>
      <c r="H13" s="80"/>
      <c r="I13" s="80"/>
      <c r="J13" s="80"/>
      <c r="K13" s="80"/>
      <c r="L13" s="80"/>
      <c r="M13" s="81"/>
      <c r="N13" s="81"/>
      <c r="O13" s="81"/>
      <c r="P13" s="82"/>
      <c r="Q13" s="81"/>
      <c r="R13" s="83"/>
      <c r="S13" s="81"/>
      <c r="T13" s="84"/>
      <c r="U13" s="84"/>
      <c r="V13" s="84"/>
      <c r="W13" s="81"/>
      <c r="X13" s="113"/>
      <c r="Y13" s="81"/>
      <c r="Z13" s="85"/>
      <c r="AA13" s="80"/>
      <c r="AB13" s="80"/>
      <c r="AC13" s="85"/>
      <c r="AD13" s="80"/>
      <c r="AE13" s="86"/>
      <c r="AF13" s="87"/>
      <c r="AG13" s="88"/>
      <c r="AH13" s="88"/>
      <c r="AI13" s="88"/>
      <c r="AJ13" s="5"/>
    </row>
    <row r="14" spans="1:36" ht="15" thickBot="1" x14ac:dyDescent="0.35">
      <c r="E14" s="44">
        <f>SUM(E3:E12)</f>
        <v>318564.50691817765</v>
      </c>
      <c r="F14" s="41"/>
      <c r="G14" s="52">
        <f>SUM(G3:G13)</f>
        <v>491531</v>
      </c>
      <c r="H14" s="60">
        <f>SUM(H3:H13)</f>
        <v>621284</v>
      </c>
      <c r="I14" s="52">
        <f>SUM(I3:I13)</f>
        <v>506448</v>
      </c>
      <c r="J14" s="60">
        <f>SUM(J3:J13)</f>
        <v>48248</v>
      </c>
      <c r="K14" s="50">
        <f>SUM(K3:K13)</f>
        <v>41491</v>
      </c>
      <c r="L14" s="41"/>
      <c r="M14" s="60">
        <f t="shared" ref="M14:W14" si="28">SUM(M3:M13)</f>
        <v>625433.10000000009</v>
      </c>
      <c r="N14" s="52">
        <f t="shared" si="28"/>
        <v>511272.8</v>
      </c>
      <c r="O14" s="47">
        <f t="shared" si="28"/>
        <v>80355.914595884591</v>
      </c>
      <c r="P14" s="67">
        <f t="shared" si="28"/>
        <v>6</v>
      </c>
      <c r="Q14" s="47">
        <f t="shared" si="28"/>
        <v>65793.454747012467</v>
      </c>
      <c r="R14" s="67">
        <f t="shared" si="28"/>
        <v>41428</v>
      </c>
      <c r="S14" s="47">
        <f t="shared" si="28"/>
        <v>73562.892702405908</v>
      </c>
      <c r="T14" s="67">
        <f t="shared" si="28"/>
        <v>327</v>
      </c>
      <c r="U14" s="68">
        <f t="shared" si="28"/>
        <v>916</v>
      </c>
      <c r="V14" s="67">
        <f t="shared" si="28"/>
        <v>79955</v>
      </c>
      <c r="W14" s="47">
        <f t="shared" si="28"/>
        <v>67745.019165020494</v>
      </c>
      <c r="X14" s="115"/>
      <c r="Y14" s="52">
        <f>SUM(Y3:Y13)</f>
        <v>287457.28121032345</v>
      </c>
      <c r="Z14" s="60">
        <f>SUM(Z3:Z13)</f>
        <v>287457.28121032345</v>
      </c>
      <c r="AA14" s="56">
        <f>SUM(AA3:AA12)</f>
        <v>318564.50691817765</v>
      </c>
      <c r="AB14" s="74">
        <f>SUM(AB3:AB12)</f>
        <v>318564.50691817765</v>
      </c>
      <c r="AC14" s="29"/>
      <c r="AD14" s="44">
        <f>SUM(AD3:AD12)</f>
        <v>318564.50691817765</v>
      </c>
      <c r="AE14" s="56">
        <f>SUM(AE3:AE12)</f>
        <v>273151</v>
      </c>
      <c r="AF14" s="36"/>
      <c r="AG14" s="37"/>
      <c r="AH14" s="37"/>
      <c r="AI14" s="37"/>
      <c r="AJ14" s="6"/>
    </row>
    <row r="15" spans="1:36" ht="15" hidden="1" thickTop="1" x14ac:dyDescent="0.3"/>
  </sheetData>
  <sheetProtection algorithmName="SHA-512" hashValue="ZMbd5aJp/kasYcuwinrJ68PmEO4Iif/pItSdgT44MeICwW21RoMKBHhyDN884cB/ivTUzr1SmLotjNs8S1q5NQ==" saltValue="E5nLQ66QxZ6LxSnJo6o1tA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78AB-F554-4BC7-B7C1-ACA85757575E}">
  <dimension ref="A1:AV17"/>
  <sheetViews>
    <sheetView zoomScale="90" zoomScaleNormal="9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C9" sqref="C9"/>
    </sheetView>
  </sheetViews>
  <sheetFormatPr defaultColWidth="0" defaultRowHeight="14.4" zeroHeight="1" x14ac:dyDescent="0.3"/>
  <cols>
    <col min="1" max="1" width="42.109375" style="92" bestFit="1" customWidth="1"/>
    <col min="2" max="2" width="18.88671875" style="48" customWidth="1"/>
    <col min="3" max="3" width="26.88671875" style="48" customWidth="1"/>
    <col min="4" max="4" width="1.44140625" style="7" customWidth="1"/>
    <col min="5" max="5" width="11.33203125" style="45" customWidth="1"/>
    <col min="6" max="6" width="1" style="7" customWidth="1"/>
    <col min="7" max="7" width="15.33203125" style="53" bestFit="1" customWidth="1"/>
    <col min="8" max="8" width="15.88671875" style="61" bestFit="1" customWidth="1"/>
    <col min="9" max="9" width="14.109375" style="55" bestFit="1" customWidth="1"/>
    <col min="10" max="10" width="14.5546875" style="61" bestFit="1" customWidth="1"/>
    <col min="11" max="11" width="12.6640625" style="54" bestFit="1" customWidth="1"/>
    <col min="12" max="12" width="2" style="9" customWidth="1"/>
    <col min="13" max="13" width="14.109375" style="61" bestFit="1" customWidth="1"/>
    <col min="14" max="14" width="14.5546875" style="57" bestFit="1" customWidth="1"/>
    <col min="15" max="15" width="13.109375" style="48" bestFit="1" customWidth="1"/>
    <col min="16" max="16" width="8.5546875" style="57" customWidth="1"/>
    <col min="17" max="17" width="12.33203125" style="48" customWidth="1"/>
    <col min="18" max="18" width="11.109375" style="57" customWidth="1"/>
    <col min="19" max="19" width="12.33203125" style="48" customWidth="1"/>
    <col min="20" max="20" width="11.5546875" style="65" customWidth="1"/>
    <col min="21" max="21" width="8.6640625" style="66" customWidth="1"/>
    <col min="22" max="22" width="13.5546875" style="57" customWidth="1"/>
    <col min="23" max="23" width="13.5546875" style="48" customWidth="1"/>
    <col min="24" max="24" width="2.109375" style="116" customWidth="1"/>
    <col min="25" max="25" width="15.33203125" style="57" customWidth="1"/>
    <col min="26" max="26" width="15.6640625" style="72" bestFit="1" customWidth="1"/>
    <col min="27" max="27" width="11.33203125" style="73" customWidth="1"/>
    <col min="28" max="28" width="12.5546875" style="72" customWidth="1"/>
    <col min="29" max="29" width="2.5546875" style="8" customWidth="1"/>
    <col min="30" max="30" width="11.33203125" style="45" customWidth="1"/>
    <col min="31" max="31" width="13.109375" style="57" bestFit="1" customWidth="1"/>
    <col min="32" max="32" width="0.44140625" style="8" hidden="1" customWidth="1"/>
    <col min="33" max="35" width="0.44140625" style="12" hidden="1" customWidth="1"/>
    <col min="36" max="48" width="0.44140625" style="8" hidden="1" customWidth="1"/>
    <col min="49" max="16384" width="9.109375" style="8" hidden="1"/>
  </cols>
  <sheetData>
    <row r="1" spans="1:36" s="94" customFormat="1" ht="45" customHeight="1" thickBot="1" x14ac:dyDescent="0.4">
      <c r="A1" s="93"/>
      <c r="D1" s="95"/>
      <c r="E1" s="96"/>
      <c r="F1" s="95"/>
      <c r="G1" s="117" t="s">
        <v>259</v>
      </c>
      <c r="H1" s="117"/>
      <c r="I1" s="117"/>
      <c r="J1" s="117"/>
      <c r="K1" s="117"/>
      <c r="L1" s="97"/>
      <c r="M1" s="117" t="s">
        <v>255</v>
      </c>
      <c r="N1" s="117"/>
      <c r="O1" s="117"/>
      <c r="P1" s="118" t="s">
        <v>256</v>
      </c>
      <c r="Q1" s="118"/>
      <c r="R1" s="119" t="s">
        <v>257</v>
      </c>
      <c r="S1" s="119"/>
      <c r="T1" s="120" t="s">
        <v>258</v>
      </c>
      <c r="U1" s="120"/>
      <c r="V1" s="120"/>
      <c r="W1" s="120"/>
      <c r="X1" s="111"/>
      <c r="Y1" s="118" t="s">
        <v>264</v>
      </c>
      <c r="Z1" s="118"/>
      <c r="AA1" s="118"/>
      <c r="AB1" s="118"/>
      <c r="AD1" s="119" t="s">
        <v>267</v>
      </c>
      <c r="AE1" s="119"/>
      <c r="AG1" s="96"/>
      <c r="AH1" s="96"/>
      <c r="AI1" s="96"/>
    </row>
    <row r="2" spans="1:36" s="11" customFormat="1" ht="153.75" customHeight="1" thickBot="1" x14ac:dyDescent="0.35">
      <c r="A2" s="98" t="s">
        <v>28</v>
      </c>
      <c r="B2" s="98" t="s">
        <v>27</v>
      </c>
      <c r="C2" s="98" t="s">
        <v>26</v>
      </c>
      <c r="D2" s="40"/>
      <c r="E2" s="99" t="s">
        <v>233</v>
      </c>
      <c r="F2" s="30"/>
      <c r="G2" s="100" t="s">
        <v>222</v>
      </c>
      <c r="H2" s="101" t="s">
        <v>260</v>
      </c>
      <c r="I2" s="102" t="s">
        <v>261</v>
      </c>
      <c r="J2" s="101" t="s">
        <v>262</v>
      </c>
      <c r="K2" s="103" t="s">
        <v>263</v>
      </c>
      <c r="L2" s="104"/>
      <c r="M2" s="101" t="s">
        <v>24</v>
      </c>
      <c r="N2" s="105" t="s">
        <v>25</v>
      </c>
      <c r="O2" s="106" t="s">
        <v>251</v>
      </c>
      <c r="P2" s="105" t="s">
        <v>236</v>
      </c>
      <c r="Q2" s="106" t="s">
        <v>252</v>
      </c>
      <c r="R2" s="105" t="s">
        <v>226</v>
      </c>
      <c r="S2" s="106" t="s">
        <v>253</v>
      </c>
      <c r="T2" s="105" t="s">
        <v>5</v>
      </c>
      <c r="U2" s="107" t="s">
        <v>23</v>
      </c>
      <c r="V2" s="105" t="s">
        <v>227</v>
      </c>
      <c r="W2" s="106" t="s">
        <v>254</v>
      </c>
      <c r="X2" s="112"/>
      <c r="Y2" s="105" t="s">
        <v>234</v>
      </c>
      <c r="Z2" s="107" t="s">
        <v>265</v>
      </c>
      <c r="AA2" s="105" t="s">
        <v>232</v>
      </c>
      <c r="AB2" s="108" t="s">
        <v>268</v>
      </c>
      <c r="AC2" s="109"/>
      <c r="AD2" s="110" t="s">
        <v>233</v>
      </c>
      <c r="AE2" s="105" t="s">
        <v>266</v>
      </c>
      <c r="AF2" s="10"/>
      <c r="AG2" s="10"/>
      <c r="AH2" s="10"/>
      <c r="AI2" s="10"/>
      <c r="AJ2" s="10"/>
    </row>
    <row r="3" spans="1:36" s="89" customFormat="1" x14ac:dyDescent="0.3">
      <c r="A3" s="90" t="s">
        <v>112</v>
      </c>
      <c r="B3" s="78" t="s">
        <v>43</v>
      </c>
      <c r="C3" s="78" t="s">
        <v>111</v>
      </c>
      <c r="D3" s="79"/>
      <c r="E3" s="80">
        <f t="shared" ref="E3:E4" si="0">+AB3</f>
        <v>40715.007033469665</v>
      </c>
      <c r="F3" s="80"/>
      <c r="G3" s="80">
        <v>23759</v>
      </c>
      <c r="H3" s="80">
        <v>34877</v>
      </c>
      <c r="I3" s="80">
        <v>176525</v>
      </c>
      <c r="J3" s="80">
        <v>35413</v>
      </c>
      <c r="K3" s="80">
        <v>539606</v>
      </c>
      <c r="L3" s="80"/>
      <c r="M3" s="81">
        <f t="shared" ref="M3:M4" si="1">H3+K3*0.1</f>
        <v>88837.6</v>
      </c>
      <c r="N3" s="81">
        <f t="shared" ref="N3:N4" si="2">I3+0.1*J3</f>
        <v>180066.3</v>
      </c>
      <c r="O3" s="81">
        <f>SUM(M3*'Factors &amp; Percentages'!$E$6+N3*'Factors &amp; Percentages'!$E$7)</f>
        <v>17704.857567932511</v>
      </c>
      <c r="P3" s="82">
        <v>1.5</v>
      </c>
      <c r="Q3" s="81">
        <f>P3*'Factors &amp; Percentages'!$E$10</f>
        <v>16448.363686753117</v>
      </c>
      <c r="R3" s="83">
        <v>579</v>
      </c>
      <c r="S3" s="81">
        <f>R3*'Factors &amp; Percentages'!$E$13</f>
        <v>1028.119022754973</v>
      </c>
      <c r="T3" s="84">
        <v>12</v>
      </c>
      <c r="U3" s="84">
        <v>23</v>
      </c>
      <c r="V3" s="84">
        <v>21610</v>
      </c>
      <c r="W3" s="81">
        <f>T3*'Factors &amp; Percentages'!$E$16+U3*'Factors &amp; Percentages'!$E$17+V3*'Factors &amp; Percentages'!$E$18</f>
        <v>5533.6667560290589</v>
      </c>
      <c r="X3" s="113"/>
      <c r="Y3" s="81">
        <f t="shared" ref="Y3:Y4" si="3">O3+Q3+S3+W3</f>
        <v>40715.007033469665</v>
      </c>
      <c r="Z3" s="85">
        <f t="shared" ref="Z3:Z4" si="4">IF($I3&gt;($H3+$G3)/2,$Y3,MIN(Y3,$H3*0.65))</f>
        <v>40715.007033469665</v>
      </c>
      <c r="AA3" s="80">
        <f>IF($AE3&gt;$Z3,$AE3*(1+'Factors &amp; Percentages'!$B$3),IF($Y3&gt;$Z3,$Z3,IF($Y3&gt;$AE3,$Y3,$AE3*(1+'Factors &amp; Percentages'!$B$3))))</f>
        <v>40715.007033469665</v>
      </c>
      <c r="AB3" s="80">
        <f t="shared" ref="AB3:AB4" si="5">MIN(AA3,+P3*2*88928)</f>
        <v>40715.007033469665</v>
      </c>
      <c r="AC3" s="85"/>
      <c r="AD3" s="80">
        <f t="shared" ref="AD3:AD4" si="6">AB3</f>
        <v>40715.007033469665</v>
      </c>
      <c r="AE3" s="86">
        <v>13100</v>
      </c>
      <c r="AF3" s="87"/>
      <c r="AG3" s="88"/>
      <c r="AH3" s="88"/>
      <c r="AI3" s="88"/>
      <c r="AJ3" s="5"/>
    </row>
    <row r="4" spans="1:36" x14ac:dyDescent="0.3">
      <c r="A4" s="91" t="s">
        <v>113</v>
      </c>
      <c r="B4" s="76" t="s">
        <v>43</v>
      </c>
      <c r="C4" s="76" t="s">
        <v>111</v>
      </c>
      <c r="D4" s="31"/>
      <c r="E4" s="43">
        <f t="shared" si="0"/>
        <v>11340</v>
      </c>
      <c r="F4" s="29"/>
      <c r="G4" s="51">
        <v>15930</v>
      </c>
      <c r="H4" s="59">
        <v>24212</v>
      </c>
      <c r="I4" s="51">
        <v>11329</v>
      </c>
      <c r="J4" s="59">
        <v>4927</v>
      </c>
      <c r="K4" s="49">
        <v>0</v>
      </c>
      <c r="L4" s="29"/>
      <c r="M4" s="62">
        <f t="shared" si="1"/>
        <v>24212</v>
      </c>
      <c r="N4" s="58">
        <f t="shared" si="2"/>
        <v>11821.7</v>
      </c>
      <c r="O4" s="46">
        <f>SUM(M4*'Factors &amp; Percentages'!$E$6+N4*'Factors &amp; Percentages'!$E$7)</f>
        <v>2644.0651799536422</v>
      </c>
      <c r="P4" s="65">
        <v>0.1</v>
      </c>
      <c r="Q4" s="46">
        <f>P4*'Factors &amp; Percentages'!$E$10</f>
        <v>1096.5575791168744</v>
      </c>
      <c r="R4" s="69">
        <v>375</v>
      </c>
      <c r="S4" s="46">
        <f>R4*'Factors &amp; Percentages'!$E$13</f>
        <v>665.88019608482705</v>
      </c>
      <c r="T4" s="63">
        <v>17</v>
      </c>
      <c r="U4" s="64">
        <v>39</v>
      </c>
      <c r="V4" s="63">
        <v>7092</v>
      </c>
      <c r="W4" s="46">
        <f>T4*'Factors &amp; Percentages'!$E$16+U4*'Factors &amp; Percentages'!$E$17+V4*'Factors &amp; Percentages'!$E$18</f>
        <v>3876.1721368603567</v>
      </c>
      <c r="X4" s="114"/>
      <c r="Y4" s="58">
        <f t="shared" si="3"/>
        <v>8282.6750920156992</v>
      </c>
      <c r="Z4" s="71">
        <f t="shared" si="4"/>
        <v>8282.6750920156992</v>
      </c>
      <c r="AA4" s="51">
        <f>IF($AE4&gt;$Z4,$AE4*(1+'Factors &amp; Percentages'!$B$3),IF($Y4&gt;$Z4,$Z4,IF($Y4&gt;$AE4,$Y4,$AE4*(1+'Factors &amp; Percentages'!$B$3))))</f>
        <v>11340</v>
      </c>
      <c r="AB4" s="59">
        <f t="shared" si="5"/>
        <v>11340</v>
      </c>
      <c r="AC4" s="42"/>
      <c r="AD4" s="43">
        <f t="shared" si="6"/>
        <v>11340</v>
      </c>
      <c r="AE4" s="75">
        <v>10800</v>
      </c>
      <c r="AF4" s="32"/>
      <c r="AG4" s="33"/>
      <c r="AH4" s="33"/>
      <c r="AI4" s="33"/>
      <c r="AJ4" s="5"/>
    </row>
    <row r="5" spans="1:36" s="89" customFormat="1" x14ac:dyDescent="0.3">
      <c r="A5" s="90" t="s">
        <v>114</v>
      </c>
      <c r="B5" s="78" t="s">
        <v>43</v>
      </c>
      <c r="C5" s="78" t="s">
        <v>111</v>
      </c>
      <c r="D5" s="79"/>
      <c r="E5" s="80">
        <f t="shared" ref="E5:E13" si="7">+AB5</f>
        <v>5124.3110387072084</v>
      </c>
      <c r="F5" s="80"/>
      <c r="G5" s="80">
        <v>21035</v>
      </c>
      <c r="H5" s="80">
        <v>14262</v>
      </c>
      <c r="I5" s="80">
        <v>5214</v>
      </c>
      <c r="J5" s="80">
        <v>1359</v>
      </c>
      <c r="K5" s="80">
        <v>1359</v>
      </c>
      <c r="L5" s="80"/>
      <c r="M5" s="81">
        <f t="shared" ref="M5:M13" si="8">H5+K5*0.1</f>
        <v>14397.9</v>
      </c>
      <c r="N5" s="81">
        <f t="shared" ref="N5:N13" si="9">I5+0.1*J5</f>
        <v>5349.9</v>
      </c>
      <c r="O5" s="81">
        <f>SUM(M5*'Factors &amp; Percentages'!$E$6+N5*'Factors &amp; Percentages'!$E$7)</f>
        <v>1473.9539822453753</v>
      </c>
      <c r="P5" s="82">
        <v>0.1</v>
      </c>
      <c r="Q5" s="81">
        <f>P5*'Factors &amp; Percentages'!$E$10</f>
        <v>1096.5575791168744</v>
      </c>
      <c r="R5" s="83">
        <v>51</v>
      </c>
      <c r="S5" s="81">
        <f>R5*'Factors &amp; Percentages'!$E$13</f>
        <v>90.559706667536489</v>
      </c>
      <c r="T5" s="84">
        <v>13</v>
      </c>
      <c r="U5" s="84">
        <v>26</v>
      </c>
      <c r="V5" s="84">
        <v>2930</v>
      </c>
      <c r="W5" s="81">
        <f>T5*'Factors &amp; Percentages'!$E$16+U5*'Factors &amp; Percentages'!$E$17+V5*'Factors &amp; Percentages'!$E$18</f>
        <v>2463.2397706774227</v>
      </c>
      <c r="X5" s="113"/>
      <c r="Y5" s="81">
        <f t="shared" ref="Y5:Y13" si="10">O5+Q5+S5+W5</f>
        <v>5124.3110387072084</v>
      </c>
      <c r="Z5" s="85">
        <f t="shared" ref="Z5:Z13" si="11">IF($I5&gt;($H5+$G5)/2,$Y5,MIN(Y5,$H5*0.65))</f>
        <v>5124.3110387072084</v>
      </c>
      <c r="AA5" s="80">
        <f>IF($AE5&gt;$Z5,$AE5*(1+'Factors &amp; Percentages'!$B$3),IF($Y5&gt;$Z5,$Z5,IF($Y5&gt;$AE5,$Y5,$AE5*(1+'Factors &amp; Percentages'!$B$3))))</f>
        <v>5124.3110387072084</v>
      </c>
      <c r="AB5" s="80">
        <f t="shared" ref="AB5:AB13" si="12">MIN(AA5,+P5*2*88928)</f>
        <v>5124.3110387072084</v>
      </c>
      <c r="AC5" s="85"/>
      <c r="AD5" s="80">
        <f t="shared" ref="AD5:AD13" si="13">AB5</f>
        <v>5124.3110387072084</v>
      </c>
      <c r="AE5" s="86">
        <v>3000</v>
      </c>
      <c r="AF5" s="87"/>
      <c r="AG5" s="88"/>
      <c r="AH5" s="88"/>
      <c r="AI5" s="88"/>
      <c r="AJ5" s="5"/>
    </row>
    <row r="6" spans="1:36" x14ac:dyDescent="0.3">
      <c r="A6" s="91" t="s">
        <v>111</v>
      </c>
      <c r="B6" s="76" t="s">
        <v>43</v>
      </c>
      <c r="C6" s="76" t="s">
        <v>111</v>
      </c>
      <c r="D6" s="31"/>
      <c r="E6" s="43">
        <f t="shared" si="7"/>
        <v>19594.25</v>
      </c>
      <c r="F6" s="29"/>
      <c r="G6" s="51">
        <f>35043-10571</f>
        <v>24472</v>
      </c>
      <c r="H6" s="59">
        <v>30145</v>
      </c>
      <c r="I6" s="51">
        <v>11124</v>
      </c>
      <c r="J6" s="59">
        <v>13759</v>
      </c>
      <c r="K6" s="49">
        <v>2343</v>
      </c>
      <c r="L6" s="29"/>
      <c r="M6" s="62">
        <f t="shared" si="8"/>
        <v>30379.3</v>
      </c>
      <c r="N6" s="58">
        <f t="shared" si="9"/>
        <v>12499.9</v>
      </c>
      <c r="O6" s="46">
        <f>SUM(M6*'Factors &amp; Percentages'!$E$6+N6*'Factors &amp; Percentages'!$E$7)</f>
        <v>3180.9622237626354</v>
      </c>
      <c r="P6" s="65">
        <v>1</v>
      </c>
      <c r="Q6" s="46">
        <f>P6*'Factors &amp; Percentages'!$E$10</f>
        <v>10965.575791168743</v>
      </c>
      <c r="R6" s="69">
        <v>584</v>
      </c>
      <c r="S6" s="46">
        <f>R6*'Factors &amp; Percentages'!$E$13</f>
        <v>1036.9974253694375</v>
      </c>
      <c r="T6" s="63">
        <v>18</v>
      </c>
      <c r="U6" s="64">
        <v>41</v>
      </c>
      <c r="V6" s="63">
        <v>11467</v>
      </c>
      <c r="W6" s="46">
        <f>T6*'Factors &amp; Percentages'!$E$16+U6*'Factors &amp; Percentages'!$E$17+V6*'Factors &amp; Percentages'!$E$18</f>
        <v>4785.1196710878739</v>
      </c>
      <c r="X6" s="114"/>
      <c r="Y6" s="58">
        <f t="shared" si="10"/>
        <v>19968.655111388689</v>
      </c>
      <c r="Z6" s="71">
        <f t="shared" si="11"/>
        <v>19594.25</v>
      </c>
      <c r="AA6" s="51">
        <f>IF($AE6&gt;$Z6,$AE6*(1+'Factors &amp; Percentages'!$B$3),IF($Y6&gt;$Z6,$Z6,IF($Y6&gt;$AE6,$Y6,$AE6*(1+'Factors &amp; Percentages'!$B$3))))</f>
        <v>19594.25</v>
      </c>
      <c r="AB6" s="59">
        <f t="shared" si="12"/>
        <v>19594.25</v>
      </c>
      <c r="AC6" s="42"/>
      <c r="AD6" s="43">
        <f t="shared" si="13"/>
        <v>19594.25</v>
      </c>
      <c r="AE6" s="75">
        <v>9600</v>
      </c>
      <c r="AF6" s="32"/>
      <c r="AG6" s="33"/>
      <c r="AH6" s="33"/>
      <c r="AI6" s="33"/>
      <c r="AJ6" s="5"/>
    </row>
    <row r="7" spans="1:36" s="89" customFormat="1" x14ac:dyDescent="0.3">
      <c r="A7" s="90" t="s">
        <v>115</v>
      </c>
      <c r="B7" s="78" t="s">
        <v>43</v>
      </c>
      <c r="C7" s="78" t="s">
        <v>111</v>
      </c>
      <c r="D7" s="79"/>
      <c r="E7" s="80">
        <f t="shared" si="7"/>
        <v>15979.408752739706</v>
      </c>
      <c r="F7" s="80"/>
      <c r="G7" s="80">
        <v>22110</v>
      </c>
      <c r="H7" s="80">
        <v>26382</v>
      </c>
      <c r="I7" s="80">
        <v>16025</v>
      </c>
      <c r="J7" s="80">
        <v>93</v>
      </c>
      <c r="K7" s="80">
        <v>450</v>
      </c>
      <c r="L7" s="80"/>
      <c r="M7" s="81">
        <f t="shared" si="8"/>
        <v>26427</v>
      </c>
      <c r="N7" s="81">
        <f t="shared" si="9"/>
        <v>16034.3</v>
      </c>
      <c r="O7" s="81">
        <f>SUM(M7*'Factors &amp; Percentages'!$E$6+N7*'Factors &amp; Percentages'!$E$7)</f>
        <v>3069.283156694084</v>
      </c>
      <c r="P7" s="82">
        <v>0.5</v>
      </c>
      <c r="Q7" s="81">
        <f>P7*'Factors &amp; Percentages'!$E$10</f>
        <v>5482.7878955843717</v>
      </c>
      <c r="R7" s="83">
        <v>1374</v>
      </c>
      <c r="S7" s="81">
        <f>R7*'Factors &amp; Percentages'!$E$13</f>
        <v>2439.7850384548065</v>
      </c>
      <c r="T7" s="84">
        <v>23</v>
      </c>
      <c r="U7" s="84">
        <v>39</v>
      </c>
      <c r="V7" s="84">
        <v>9539</v>
      </c>
      <c r="W7" s="81">
        <f>T7*'Factors &amp; Percentages'!$E$16+U7*'Factors &amp; Percentages'!$E$17+V7*'Factors &amp; Percentages'!$E$18</f>
        <v>4987.5526620064447</v>
      </c>
      <c r="X7" s="113"/>
      <c r="Y7" s="81">
        <f t="shared" si="10"/>
        <v>15979.408752739706</v>
      </c>
      <c r="Z7" s="85">
        <f t="shared" si="11"/>
        <v>15979.408752739706</v>
      </c>
      <c r="AA7" s="80">
        <f>IF($AE7&gt;$Z7,$AE7*(1+'Factors &amp; Percentages'!$B$3),IF($Y7&gt;$Z7,$Z7,IF($Y7&gt;$AE7,$Y7,$AE7*(1+'Factors &amp; Percentages'!$B$3))))</f>
        <v>15979.408752739706</v>
      </c>
      <c r="AB7" s="80">
        <f t="shared" si="12"/>
        <v>15979.408752739706</v>
      </c>
      <c r="AC7" s="85"/>
      <c r="AD7" s="80">
        <f t="shared" si="13"/>
        <v>15979.408752739706</v>
      </c>
      <c r="AE7" s="86">
        <v>15750</v>
      </c>
      <c r="AF7" s="87"/>
      <c r="AG7" s="88"/>
      <c r="AH7" s="88"/>
      <c r="AI7" s="88"/>
      <c r="AJ7" s="5"/>
    </row>
    <row r="8" spans="1:36" x14ac:dyDescent="0.3">
      <c r="A8" s="91" t="s">
        <v>116</v>
      </c>
      <c r="B8" s="76" t="s">
        <v>43</v>
      </c>
      <c r="C8" s="76" t="s">
        <v>111</v>
      </c>
      <c r="D8" s="31"/>
      <c r="E8" s="43">
        <f t="shared" si="7"/>
        <v>49553.556545798259</v>
      </c>
      <c r="F8" s="29"/>
      <c r="G8" s="51">
        <v>229407</v>
      </c>
      <c r="H8" s="59">
        <v>232782</v>
      </c>
      <c r="I8" s="51">
        <v>21200</v>
      </c>
      <c r="J8" s="59">
        <v>78170</v>
      </c>
      <c r="K8" s="49">
        <v>7219</v>
      </c>
      <c r="L8" s="29"/>
      <c r="M8" s="62">
        <f t="shared" si="8"/>
        <v>233503.9</v>
      </c>
      <c r="N8" s="58">
        <f t="shared" si="9"/>
        <v>29017</v>
      </c>
      <c r="O8" s="46">
        <f>SUM(M8*'Factors &amp; Percentages'!$E$6+N8*'Factors &amp; Percentages'!$E$7)</f>
        <v>20523.302595247693</v>
      </c>
      <c r="P8" s="65">
        <v>1</v>
      </c>
      <c r="Q8" s="46">
        <f>P8*'Factors &amp; Percentages'!$E$10</f>
        <v>10965.575791168743</v>
      </c>
      <c r="R8" s="69">
        <v>508</v>
      </c>
      <c r="S8" s="46">
        <f>R8*'Factors &amp; Percentages'!$E$13</f>
        <v>902.04570562957906</v>
      </c>
      <c r="T8" s="63">
        <v>130</v>
      </c>
      <c r="U8" s="64">
        <v>71</v>
      </c>
      <c r="V8" s="63">
        <v>5775</v>
      </c>
      <c r="W8" s="46">
        <f>T8*'Factors &amp; Percentages'!$E$16+U8*'Factors &amp; Percentages'!$E$17+V8*'Factors &amp; Percentages'!$E$18</f>
        <v>17162.632453752241</v>
      </c>
      <c r="X8" s="114"/>
      <c r="Y8" s="58">
        <f t="shared" si="10"/>
        <v>49553.556545798259</v>
      </c>
      <c r="Z8" s="71">
        <f t="shared" si="11"/>
        <v>49553.556545798259</v>
      </c>
      <c r="AA8" s="51">
        <f>IF($AE8&gt;$Z8,$AE8*(1+'Factors &amp; Percentages'!$B$3),IF($Y8&gt;$Z8,$Z8,IF($Y8&gt;$AE8,$Y8,$AE8*(1+'Factors &amp; Percentages'!$B$3))))</f>
        <v>49553.556545798259</v>
      </c>
      <c r="AB8" s="59">
        <f t="shared" si="12"/>
        <v>49553.556545798259</v>
      </c>
      <c r="AC8" s="42"/>
      <c r="AD8" s="43">
        <f t="shared" si="13"/>
        <v>49553.556545798259</v>
      </c>
      <c r="AE8" s="75">
        <v>40000</v>
      </c>
      <c r="AF8" s="32"/>
      <c r="AG8" s="33"/>
      <c r="AH8" s="33"/>
      <c r="AI8" s="33"/>
      <c r="AJ8" s="5"/>
    </row>
    <row r="9" spans="1:36" s="89" customFormat="1" x14ac:dyDescent="0.3">
      <c r="A9" s="90" t="s">
        <v>117</v>
      </c>
      <c r="B9" s="78" t="s">
        <v>43</v>
      </c>
      <c r="C9" s="78" t="s">
        <v>111</v>
      </c>
      <c r="D9" s="79"/>
      <c r="E9" s="80">
        <f t="shared" si="7"/>
        <v>24952.2</v>
      </c>
      <c r="F9" s="80"/>
      <c r="G9" s="80">
        <f>45142-10572</f>
        <v>34570</v>
      </c>
      <c r="H9" s="80">
        <v>38388</v>
      </c>
      <c r="I9" s="80">
        <v>11157</v>
      </c>
      <c r="J9" s="80">
        <v>20016</v>
      </c>
      <c r="K9" s="80">
        <v>7086</v>
      </c>
      <c r="L9" s="80"/>
      <c r="M9" s="81">
        <f t="shared" si="8"/>
        <v>39096.6</v>
      </c>
      <c r="N9" s="81">
        <f t="shared" si="9"/>
        <v>13158.6</v>
      </c>
      <c r="O9" s="81">
        <f>SUM(M9*'Factors &amp; Percentages'!$E$6+N9*'Factors &amp; Percentages'!$E$7)</f>
        <v>3922.2902729544076</v>
      </c>
      <c r="P9" s="82">
        <v>0.5</v>
      </c>
      <c r="Q9" s="81">
        <f>P9*'Factors &amp; Percentages'!$E$10</f>
        <v>5482.7878955843717</v>
      </c>
      <c r="R9" s="83">
        <v>9560</v>
      </c>
      <c r="S9" s="81">
        <f>R9*'Factors &amp; Percentages'!$E$13</f>
        <v>16975.505798855858</v>
      </c>
      <c r="T9" s="84">
        <v>28</v>
      </c>
      <c r="U9" s="84">
        <v>93</v>
      </c>
      <c r="V9" s="84">
        <v>5619</v>
      </c>
      <c r="W9" s="81">
        <f>T9*'Factors &amp; Percentages'!$E$16+U9*'Factors &amp; Percentages'!$E$17+V9*'Factors &amp; Percentages'!$E$18</f>
        <v>5849.3380273730127</v>
      </c>
      <c r="X9" s="113"/>
      <c r="Y9" s="81">
        <f t="shared" si="10"/>
        <v>32229.921994767654</v>
      </c>
      <c r="Z9" s="85">
        <f t="shared" si="11"/>
        <v>24952.2</v>
      </c>
      <c r="AA9" s="80">
        <f>IF($AE9&gt;$Z9,$AE9*(1+'Factors &amp; Percentages'!$B$3),IF($Y9&gt;$Z9,$Z9,IF($Y9&gt;$AE9,$Y9,$AE9*(1+'Factors &amp; Percentages'!$B$3))))</f>
        <v>24952.2</v>
      </c>
      <c r="AB9" s="80">
        <f t="shared" si="12"/>
        <v>24952.2</v>
      </c>
      <c r="AC9" s="85"/>
      <c r="AD9" s="80">
        <f t="shared" si="13"/>
        <v>24952.2</v>
      </c>
      <c r="AE9" s="86">
        <v>20000</v>
      </c>
      <c r="AF9" s="87"/>
      <c r="AG9" s="88"/>
      <c r="AH9" s="88"/>
      <c r="AI9" s="88"/>
      <c r="AJ9" s="5"/>
    </row>
    <row r="10" spans="1:36" x14ac:dyDescent="0.3">
      <c r="A10" s="91" t="s">
        <v>118</v>
      </c>
      <c r="B10" s="76" t="s">
        <v>43</v>
      </c>
      <c r="C10" s="76" t="s">
        <v>111</v>
      </c>
      <c r="D10" s="31"/>
      <c r="E10" s="43">
        <f t="shared" si="7"/>
        <v>15898.705306330347</v>
      </c>
      <c r="F10" s="29"/>
      <c r="G10" s="51">
        <v>28584</v>
      </c>
      <c r="H10" s="59">
        <v>25072</v>
      </c>
      <c r="I10" s="51">
        <v>27407</v>
      </c>
      <c r="J10" s="59">
        <v>0</v>
      </c>
      <c r="K10" s="49">
        <v>0</v>
      </c>
      <c r="L10" s="29"/>
      <c r="M10" s="62">
        <f t="shared" si="8"/>
        <v>25072</v>
      </c>
      <c r="N10" s="58">
        <f t="shared" si="9"/>
        <v>27407</v>
      </c>
      <c r="O10" s="46">
        <f>SUM(M10*'Factors &amp; Percentages'!$E$6+N10*'Factors &amp; Percentages'!$E$7)</f>
        <v>3625.9301307622745</v>
      </c>
      <c r="P10" s="65">
        <v>0.5</v>
      </c>
      <c r="Q10" s="46">
        <f>P10*'Factors &amp; Percentages'!$E$10</f>
        <v>5482.7878955843717</v>
      </c>
      <c r="R10" s="69">
        <v>1130</v>
      </c>
      <c r="S10" s="46">
        <f>R10*'Factors &amp; Percentages'!$E$13</f>
        <v>2006.5189908689456</v>
      </c>
      <c r="T10" s="63">
        <v>30</v>
      </c>
      <c r="U10" s="64">
        <v>19</v>
      </c>
      <c r="V10" s="63">
        <v>5808</v>
      </c>
      <c r="W10" s="46">
        <f>T10*'Factors &amp; Percentages'!$E$16+U10*'Factors &amp; Percentages'!$E$17+V10*'Factors &amp; Percentages'!$E$18</f>
        <v>4783.4682891147531</v>
      </c>
      <c r="X10" s="114"/>
      <c r="Y10" s="58">
        <f t="shared" si="10"/>
        <v>15898.705306330347</v>
      </c>
      <c r="Z10" s="71">
        <f t="shared" si="11"/>
        <v>15898.705306330347</v>
      </c>
      <c r="AA10" s="51">
        <f>IF($AE10&gt;$Z10,$AE10*(1+'Factors &amp; Percentages'!$B$3),IF($Y10&gt;$Z10,$Z10,IF($Y10&gt;$AE10,$Y10,$AE10*(1+'Factors &amp; Percentages'!$B$3))))</f>
        <v>15898.705306330347</v>
      </c>
      <c r="AB10" s="59">
        <f t="shared" si="12"/>
        <v>15898.705306330347</v>
      </c>
      <c r="AC10" s="42"/>
      <c r="AD10" s="43">
        <f t="shared" si="13"/>
        <v>15898.705306330347</v>
      </c>
      <c r="AE10" s="75">
        <v>11000</v>
      </c>
      <c r="AF10" s="32"/>
      <c r="AG10" s="33"/>
      <c r="AH10" s="33"/>
      <c r="AI10" s="33"/>
      <c r="AJ10" s="5"/>
    </row>
    <row r="11" spans="1:36" s="89" customFormat="1" x14ac:dyDescent="0.3">
      <c r="A11" s="90" t="s">
        <v>119</v>
      </c>
      <c r="B11" s="78" t="s">
        <v>43</v>
      </c>
      <c r="C11" s="78" t="s">
        <v>111</v>
      </c>
      <c r="D11" s="79"/>
      <c r="E11" s="80">
        <f t="shared" si="7"/>
        <v>25610.283454810258</v>
      </c>
      <c r="F11" s="80"/>
      <c r="G11" s="80">
        <f>46560-1000-10572</f>
        <v>34988</v>
      </c>
      <c r="H11" s="80">
        <v>29768</v>
      </c>
      <c r="I11" s="80">
        <v>32917</v>
      </c>
      <c r="J11" s="80">
        <v>13779</v>
      </c>
      <c r="K11" s="80">
        <v>0</v>
      </c>
      <c r="L11" s="80"/>
      <c r="M11" s="81">
        <f t="shared" si="8"/>
        <v>29768</v>
      </c>
      <c r="N11" s="81">
        <f t="shared" si="9"/>
        <v>34294.9</v>
      </c>
      <c r="O11" s="81">
        <f>SUM(M11*'Factors &amp; Percentages'!$E$6+N11*'Factors &amp; Percentages'!$E$7)</f>
        <v>4407.7997274893651</v>
      </c>
      <c r="P11" s="82">
        <v>1</v>
      </c>
      <c r="Q11" s="81">
        <f>P11*'Factors &amp; Percentages'!$E$10</f>
        <v>10965.575791168743</v>
      </c>
      <c r="R11" s="83">
        <v>1843</v>
      </c>
      <c r="S11" s="81">
        <f>R11*'Factors &amp; Percentages'!$E$13</f>
        <v>3272.5792036915636</v>
      </c>
      <c r="T11" s="84">
        <v>30</v>
      </c>
      <c r="U11" s="84">
        <v>76</v>
      </c>
      <c r="V11" s="84">
        <v>12488</v>
      </c>
      <c r="W11" s="81">
        <f>T11*'Factors &amp; Percentages'!$E$16+U11*'Factors &amp; Percentages'!$E$17+V11*'Factors &amp; Percentages'!$E$18</f>
        <v>6964.328732460589</v>
      </c>
      <c r="X11" s="113"/>
      <c r="Y11" s="81">
        <f t="shared" si="10"/>
        <v>25610.283454810258</v>
      </c>
      <c r="Z11" s="85">
        <f t="shared" si="11"/>
        <v>25610.283454810258</v>
      </c>
      <c r="AA11" s="80">
        <f>IF($AE11&gt;$Z11,$AE11*(1+'Factors &amp; Percentages'!$B$3),IF($Y11&gt;$Z11,$Z11,IF($Y11&gt;$AE11,$Y11,$AE11*(1+'Factors &amp; Percentages'!$B$3))))</f>
        <v>25610.283454810258</v>
      </c>
      <c r="AB11" s="80">
        <f t="shared" si="12"/>
        <v>25610.283454810258</v>
      </c>
      <c r="AC11" s="85"/>
      <c r="AD11" s="80">
        <f t="shared" si="13"/>
        <v>25610.283454810258</v>
      </c>
      <c r="AE11" s="86">
        <v>10000</v>
      </c>
      <c r="AF11" s="87"/>
      <c r="AG11" s="88"/>
      <c r="AH11" s="88"/>
      <c r="AI11" s="88"/>
      <c r="AJ11" s="5"/>
    </row>
    <row r="12" spans="1:36" x14ac:dyDescent="0.3">
      <c r="A12" s="91" t="s">
        <v>120</v>
      </c>
      <c r="B12" s="76" t="s">
        <v>43</v>
      </c>
      <c r="C12" s="76" t="s">
        <v>111</v>
      </c>
      <c r="D12" s="31"/>
      <c r="E12" s="43">
        <f t="shared" si="7"/>
        <v>21459.385839903687</v>
      </c>
      <c r="F12" s="29"/>
      <c r="G12" s="51">
        <f>69336-20000-17297</f>
        <v>32039</v>
      </c>
      <c r="H12" s="59">
        <v>40914</v>
      </c>
      <c r="I12" s="51">
        <v>56932</v>
      </c>
      <c r="J12" s="59">
        <v>1453</v>
      </c>
      <c r="K12" s="49">
        <v>1023</v>
      </c>
      <c r="L12" s="29"/>
      <c r="M12" s="62">
        <f t="shared" si="8"/>
        <v>41016.300000000003</v>
      </c>
      <c r="N12" s="58">
        <f t="shared" si="9"/>
        <v>57077.3</v>
      </c>
      <c r="O12" s="46">
        <f>SUM(M12*'Factors &amp; Percentages'!$E$6+N12*'Factors &amp; Percentages'!$E$7)</f>
        <v>6648.5330453939678</v>
      </c>
      <c r="P12" s="65">
        <v>0.5</v>
      </c>
      <c r="Q12" s="46">
        <f>P12*'Factors &amp; Percentages'!$E$10</f>
        <v>5482.7878955843717</v>
      </c>
      <c r="R12" s="69">
        <v>2689</v>
      </c>
      <c r="S12" s="46">
        <f>R12*'Factors &amp; Percentages'!$E$13</f>
        <v>4774.8049260589332</v>
      </c>
      <c r="T12" s="63">
        <v>25</v>
      </c>
      <c r="U12" s="64">
        <v>31</v>
      </c>
      <c r="V12" s="63">
        <v>6541</v>
      </c>
      <c r="W12" s="46">
        <f>T12*'Factors &amp; Percentages'!$E$16+U12*'Factors &amp; Percentages'!$E$17+V12*'Factors &amp; Percentages'!$E$18</f>
        <v>4553.2599728664145</v>
      </c>
      <c r="X12" s="114"/>
      <c r="Y12" s="58">
        <f t="shared" si="10"/>
        <v>21459.385839903687</v>
      </c>
      <c r="Z12" s="71">
        <f t="shared" si="11"/>
        <v>21459.385839903687</v>
      </c>
      <c r="AA12" s="51">
        <f>IF($AE12&gt;$Z12,$AE12*(1+'Factors &amp; Percentages'!$B$3),IF($Y12&gt;$Z12,$Z12,IF($Y12&gt;$AE12,$Y12,$AE12*(1+'Factors &amp; Percentages'!$B$3))))</f>
        <v>21459.385839903687</v>
      </c>
      <c r="AB12" s="59">
        <f t="shared" si="12"/>
        <v>21459.385839903687</v>
      </c>
      <c r="AC12" s="42"/>
      <c r="AD12" s="43">
        <f t="shared" si="13"/>
        <v>21459.385839903687</v>
      </c>
      <c r="AE12" s="75">
        <v>18815</v>
      </c>
      <c r="AF12" s="32"/>
      <c r="AG12" s="33"/>
      <c r="AH12" s="33"/>
      <c r="AI12" s="33"/>
      <c r="AJ12" s="5"/>
    </row>
    <row r="13" spans="1:36" s="89" customFormat="1" x14ac:dyDescent="0.3">
      <c r="A13" s="90" t="s">
        <v>121</v>
      </c>
      <c r="B13" s="78" t="s">
        <v>43</v>
      </c>
      <c r="C13" s="78" t="s">
        <v>111</v>
      </c>
      <c r="D13" s="79"/>
      <c r="E13" s="80">
        <f t="shared" si="7"/>
        <v>16814.850000000002</v>
      </c>
      <c r="F13" s="80"/>
      <c r="G13" s="80">
        <f>30584-11457</f>
        <v>19127</v>
      </c>
      <c r="H13" s="80">
        <v>25869</v>
      </c>
      <c r="I13" s="80">
        <v>13689</v>
      </c>
      <c r="J13" s="80">
        <v>0</v>
      </c>
      <c r="K13" s="80">
        <v>1804</v>
      </c>
      <c r="L13" s="80"/>
      <c r="M13" s="81">
        <f t="shared" si="8"/>
        <v>26049.4</v>
      </c>
      <c r="N13" s="81">
        <f t="shared" si="9"/>
        <v>13689</v>
      </c>
      <c r="O13" s="81">
        <f>SUM(M13*'Factors &amp; Percentages'!$E$6+N13*'Factors &amp; Percentages'!$E$7)</f>
        <v>2901.5226613447931</v>
      </c>
      <c r="P13" s="82">
        <v>1</v>
      </c>
      <c r="Q13" s="81">
        <f>P13*'Factors &amp; Percentages'!$E$10</f>
        <v>10965.575791168743</v>
      </c>
      <c r="R13" s="83">
        <v>953</v>
      </c>
      <c r="S13" s="81">
        <f>R13*'Factors &amp; Percentages'!$E$13</f>
        <v>1692.2235383169073</v>
      </c>
      <c r="T13" s="84">
        <v>32</v>
      </c>
      <c r="U13" s="84">
        <v>62</v>
      </c>
      <c r="V13" s="84">
        <v>12178</v>
      </c>
      <c r="W13" s="81">
        <f>T13*'Factors &amp; Percentages'!$E$16+U13*'Factors &amp; Percentages'!$E$17+V13*'Factors &amp; Percentages'!$E$18</f>
        <v>6888.4366557305148</v>
      </c>
      <c r="X13" s="113"/>
      <c r="Y13" s="81">
        <f t="shared" si="10"/>
        <v>22447.758646560957</v>
      </c>
      <c r="Z13" s="85">
        <f t="shared" si="11"/>
        <v>16814.850000000002</v>
      </c>
      <c r="AA13" s="80">
        <f>IF($AE13&gt;$Z13,$AE13*(1+'Factors &amp; Percentages'!$B$3),IF($Y13&gt;$Z13,$Z13,IF($Y13&gt;$AE13,$Y13,$AE13*(1+'Factors &amp; Percentages'!$B$3))))</f>
        <v>16814.850000000002</v>
      </c>
      <c r="AB13" s="80">
        <f t="shared" si="12"/>
        <v>16814.850000000002</v>
      </c>
      <c r="AC13" s="85"/>
      <c r="AD13" s="80">
        <f t="shared" si="13"/>
        <v>16814.850000000002</v>
      </c>
      <c r="AE13" s="86">
        <v>12433</v>
      </c>
      <c r="AF13" s="87"/>
      <c r="AG13" s="88"/>
      <c r="AH13" s="88"/>
      <c r="AI13" s="88"/>
      <c r="AJ13" s="5"/>
    </row>
    <row r="14" spans="1:36" x14ac:dyDescent="0.3">
      <c r="A14" s="91" t="s">
        <v>122</v>
      </c>
      <c r="B14" s="76" t="s">
        <v>43</v>
      </c>
      <c r="C14" s="76" t="s">
        <v>111</v>
      </c>
      <c r="D14" s="31"/>
      <c r="E14" s="43">
        <f t="shared" ref="E14" si="14">+AB14</f>
        <v>22309.350000000002</v>
      </c>
      <c r="F14" s="29"/>
      <c r="G14" s="51">
        <f>39208-11033</f>
        <v>28175</v>
      </c>
      <c r="H14" s="59">
        <v>49661</v>
      </c>
      <c r="I14" s="51">
        <v>14713</v>
      </c>
      <c r="J14" s="59">
        <v>13358</v>
      </c>
      <c r="K14" s="49">
        <v>3428</v>
      </c>
      <c r="L14" s="29"/>
      <c r="M14" s="62">
        <f t="shared" ref="M14" si="15">H14+K14*0.1</f>
        <v>50003.8</v>
      </c>
      <c r="N14" s="58">
        <f t="shared" ref="N14" si="16">I14+0.1*J14</f>
        <v>16048.8</v>
      </c>
      <c r="O14" s="46">
        <f>SUM(M14*'Factors &amp; Percentages'!$E$6+N14*'Factors &amp; Percentages'!$E$7)</f>
        <v>4970.817478641673</v>
      </c>
      <c r="P14" s="65">
        <v>0.5</v>
      </c>
      <c r="Q14" s="46">
        <f>P14*'Factors &amp; Percentages'!$E$10</f>
        <v>5482.7878955843717</v>
      </c>
      <c r="R14" s="69">
        <v>763</v>
      </c>
      <c r="S14" s="46">
        <f>R14*'Factors &amp; Percentages'!$E$13</f>
        <v>1354.8442389672616</v>
      </c>
      <c r="T14" s="63">
        <v>31</v>
      </c>
      <c r="U14" s="64">
        <v>57</v>
      </c>
      <c r="V14" s="63">
        <v>8900</v>
      </c>
      <c r="W14" s="46">
        <f>T14*'Factors &amp; Percentages'!$E$16+U14*'Factors &amp; Percentages'!$E$17+V14*'Factors &amp; Percentages'!$E$18</f>
        <v>6115.8641369665302</v>
      </c>
      <c r="X14" s="114"/>
      <c r="Y14" s="58">
        <f t="shared" ref="Y14" si="17">O14+Q14+S14+W14</f>
        <v>17924.313750159836</v>
      </c>
      <c r="Z14" s="71">
        <f t="shared" ref="Z14" si="18">IF($I14&gt;($H14+$G14)/2,$Y14,MIN(Y14,$H14*0.65))</f>
        <v>17924.313750159836</v>
      </c>
      <c r="AA14" s="51">
        <f>IF($AE14&gt;$Z14,$AE14*(1+'Factors &amp; Percentages'!$B$3),IF($Y14&gt;$Z14,$Z14,IF($Y14&gt;$AE14,$Y14,$AE14*(1+'Factors &amp; Percentages'!$B$3))))</f>
        <v>22309.350000000002</v>
      </c>
      <c r="AB14" s="59">
        <f t="shared" ref="AB14" si="19">MIN(AA14,+P14*2*88928)</f>
        <v>22309.350000000002</v>
      </c>
      <c r="AC14" s="42"/>
      <c r="AD14" s="43">
        <f t="shared" ref="AD14" si="20">AB14</f>
        <v>22309.350000000002</v>
      </c>
      <c r="AE14" s="75">
        <v>21247</v>
      </c>
      <c r="AF14" s="32"/>
      <c r="AG14" s="33"/>
      <c r="AH14" s="33"/>
      <c r="AI14" s="33"/>
      <c r="AJ14" s="5"/>
    </row>
    <row r="15" spans="1:36" s="89" customFormat="1" x14ac:dyDescent="0.3">
      <c r="A15" s="90"/>
      <c r="B15" s="78"/>
      <c r="C15" s="78"/>
      <c r="D15" s="79"/>
      <c r="E15" s="80"/>
      <c r="F15" s="80"/>
      <c r="G15" s="80"/>
      <c r="H15" s="80"/>
      <c r="I15" s="80"/>
      <c r="J15" s="80"/>
      <c r="K15" s="80"/>
      <c r="L15" s="80"/>
      <c r="M15" s="81"/>
      <c r="N15" s="81"/>
      <c r="O15" s="81"/>
      <c r="P15" s="82"/>
      <c r="Q15" s="81"/>
      <c r="R15" s="83"/>
      <c r="S15" s="81"/>
      <c r="T15" s="84"/>
      <c r="U15" s="84"/>
      <c r="V15" s="84"/>
      <c r="W15" s="81"/>
      <c r="X15" s="113"/>
      <c r="Y15" s="81"/>
      <c r="Z15" s="85"/>
      <c r="AA15" s="80"/>
      <c r="AB15" s="80"/>
      <c r="AC15" s="85"/>
      <c r="AD15" s="80"/>
      <c r="AE15" s="86"/>
      <c r="AF15" s="87"/>
      <c r="AG15" s="88"/>
      <c r="AH15" s="88"/>
      <c r="AI15" s="88"/>
      <c r="AJ15" s="5"/>
    </row>
    <row r="16" spans="1:36" ht="15" thickBot="1" x14ac:dyDescent="0.35">
      <c r="E16" s="44">
        <f>SUM(E3:E14)</f>
        <v>269351.30797175918</v>
      </c>
      <c r="F16" s="41"/>
      <c r="G16" s="52">
        <f>SUM(G3:G15)</f>
        <v>514196</v>
      </c>
      <c r="H16" s="60">
        <f>SUM(H3:H15)</f>
        <v>572332</v>
      </c>
      <c r="I16" s="52">
        <f>SUM(I3:I15)</f>
        <v>398232</v>
      </c>
      <c r="J16" s="60">
        <f>SUM(J3:J15)</f>
        <v>182327</v>
      </c>
      <c r="K16" s="50">
        <f>SUM(K3:K15)</f>
        <v>564318</v>
      </c>
      <c r="L16" s="41"/>
      <c r="M16" s="60">
        <f t="shared" ref="M16:W16" si="21">SUM(M3:M15)</f>
        <v>628763.80000000005</v>
      </c>
      <c r="N16" s="52">
        <f t="shared" si="21"/>
        <v>416464.69999999995</v>
      </c>
      <c r="O16" s="47">
        <f t="shared" si="21"/>
        <v>75073.31802242242</v>
      </c>
      <c r="P16" s="67">
        <f t="shared" si="21"/>
        <v>8.1999999999999993</v>
      </c>
      <c r="Q16" s="47">
        <f t="shared" si="21"/>
        <v>89917.721487583694</v>
      </c>
      <c r="R16" s="67">
        <f t="shared" si="21"/>
        <v>20409</v>
      </c>
      <c r="S16" s="47">
        <f t="shared" si="21"/>
        <v>36239.863791720636</v>
      </c>
      <c r="T16" s="67">
        <f t="shared" si="21"/>
        <v>389</v>
      </c>
      <c r="U16" s="68">
        <f t="shared" si="21"/>
        <v>577</v>
      </c>
      <c r="V16" s="67">
        <f t="shared" si="21"/>
        <v>109947</v>
      </c>
      <c r="W16" s="47">
        <f t="shared" si="21"/>
        <v>73963.079264925211</v>
      </c>
      <c r="X16" s="115"/>
      <c r="Y16" s="52">
        <f>SUM(Y3:Y15)</f>
        <v>275193.98256665195</v>
      </c>
      <c r="Z16" s="60">
        <f>SUM(Z3:Z15)</f>
        <v>261908.94681393469</v>
      </c>
      <c r="AA16" s="56">
        <f>SUM(AA3:AA14)</f>
        <v>269351.30797175918</v>
      </c>
      <c r="AB16" s="74">
        <f>SUM(AB3:AB14)</f>
        <v>269351.30797175918</v>
      </c>
      <c r="AC16" s="29"/>
      <c r="AD16" s="44">
        <f>SUM(AD3:AD14)</f>
        <v>269351.30797175918</v>
      </c>
      <c r="AE16" s="56">
        <f>SUM(AE3:AE14)</f>
        <v>185745</v>
      </c>
      <c r="AF16" s="36"/>
      <c r="AG16" s="37"/>
      <c r="AH16" s="37"/>
      <c r="AI16" s="37"/>
      <c r="AJ16" s="6"/>
    </row>
    <row r="17" ht="15" hidden="1" thickTop="1" x14ac:dyDescent="0.3"/>
  </sheetData>
  <sheetProtection algorithmName="SHA-512" hashValue="NdYBYYsjlmHV6irDANCp82sXm5IrgTbxt5wY5QqEVJZHLjlYUTJD4c6KYOVURXFjtKw6grU3Ezp4aU6xsc2G6g==" saltValue="8D37LD+STvYpQGo7sUid0A==" spinCount="100000" sheet="1" selectLockedCells="1"/>
  <mergeCells count="7">
    <mergeCell ref="AD1:AE1"/>
    <mergeCell ref="G1:K1"/>
    <mergeCell ref="M1:O1"/>
    <mergeCell ref="P1:Q1"/>
    <mergeCell ref="R1:S1"/>
    <mergeCell ref="T1:W1"/>
    <mergeCell ref="Y1:A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Diocese Base Data Sheet</vt:lpstr>
      <vt:lpstr>Wearmouth</vt:lpstr>
      <vt:lpstr>Stockton</vt:lpstr>
      <vt:lpstr>Stanhope</vt:lpstr>
      <vt:lpstr>Lanchester</vt:lpstr>
      <vt:lpstr>Jarrow</vt:lpstr>
      <vt:lpstr>Hartlepool</vt:lpstr>
      <vt:lpstr>Gateshead West</vt:lpstr>
      <vt:lpstr>Gateshead</vt:lpstr>
      <vt:lpstr>Easington</vt:lpstr>
      <vt:lpstr>Durham</vt:lpstr>
      <vt:lpstr>Darlington</vt:lpstr>
      <vt:lpstr>Chester le Street</vt:lpstr>
      <vt:lpstr>Barnard Castle</vt:lpstr>
      <vt:lpstr>Auckland</vt:lpstr>
      <vt:lpstr>Factors &amp; Percentages</vt:lpstr>
      <vt:lpstr>Auckland!Print_Area</vt:lpstr>
      <vt:lpstr>'Barnard Castle'!Print_Area</vt:lpstr>
      <vt:lpstr>'Chester le Street'!Print_Area</vt:lpstr>
      <vt:lpstr>Darlington!Print_Area</vt:lpstr>
      <vt:lpstr>'Diocese Base Data Sheet'!Print_Area</vt:lpstr>
      <vt:lpstr>Durham!Print_Area</vt:lpstr>
      <vt:lpstr>Easington!Print_Area</vt:lpstr>
      <vt:lpstr>'Factors &amp; Percentages'!Print_Area</vt:lpstr>
      <vt:lpstr>Gateshead!Print_Area</vt:lpstr>
      <vt:lpstr>'Gateshead West'!Print_Area</vt:lpstr>
      <vt:lpstr>Hartlepool!Print_Area</vt:lpstr>
      <vt:lpstr>Jarrow!Print_Area</vt:lpstr>
      <vt:lpstr>Lanchester!Print_Area</vt:lpstr>
      <vt:lpstr>Stanhope!Print_Area</vt:lpstr>
      <vt:lpstr>Stockton!Print_Area</vt:lpstr>
      <vt:lpstr>Wearmouth!Print_Area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Bruce</dc:creator>
  <cp:lastModifiedBy>Gary Taylor</cp:lastModifiedBy>
  <cp:lastPrinted>2023-08-31T13:13:39Z</cp:lastPrinted>
  <dcterms:created xsi:type="dcterms:W3CDTF">2020-12-21T11:10:20Z</dcterms:created>
  <dcterms:modified xsi:type="dcterms:W3CDTF">2023-09-13T09:46:46Z</dcterms:modified>
</cp:coreProperties>
</file>